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Netzwirtschaft\Bilanzierung Gas\Prüfungspflicht SLP bei Netzkontoabweichungen\2021_Prüfung SLP L-Gas\"/>
    </mc:Choice>
  </mc:AlternateContent>
  <xr:revisionPtr revIDLastSave="0" documentId="13_ncr:1_{B37A03CE-5BF1-4A57-A2E1-57B777AA2222}" xr6:coauthVersionLast="45" xr6:coauthVersionMax="45" xr10:uidLastSave="{00000000-0000-0000-0000-000000000000}"/>
  <bookViews>
    <workbookView xWindow="28680" yWindow="-120" windowWidth="29040" windowHeight="15840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0" i="7" l="1"/>
  <c r="V40" i="7"/>
  <c r="U40" i="7"/>
  <c r="T40" i="7"/>
  <c r="S40" i="7"/>
  <c r="R40" i="7"/>
  <c r="X40" i="7" s="1"/>
  <c r="W39" i="7"/>
  <c r="V39" i="7"/>
  <c r="U39" i="7"/>
  <c r="T39" i="7"/>
  <c r="S39" i="7"/>
  <c r="R39" i="7"/>
  <c r="W38" i="7"/>
  <c r="V38" i="7"/>
  <c r="U38" i="7"/>
  <c r="T38" i="7"/>
  <c r="S38" i="7"/>
  <c r="R38" i="7"/>
  <c r="X38" i="7" s="1"/>
  <c r="W37" i="7"/>
  <c r="V37" i="7"/>
  <c r="U37" i="7"/>
  <c r="T37" i="7"/>
  <c r="S37" i="7"/>
  <c r="R37" i="7"/>
  <c r="W34" i="7"/>
  <c r="V34" i="7"/>
  <c r="U34" i="7"/>
  <c r="T34" i="7"/>
  <c r="S34" i="7"/>
  <c r="R34" i="7"/>
  <c r="X34" i="7" s="1"/>
  <c r="W33" i="7"/>
  <c r="V33" i="7"/>
  <c r="U33" i="7"/>
  <c r="T33" i="7"/>
  <c r="S33" i="7"/>
  <c r="R33" i="7"/>
  <c r="W32" i="7"/>
  <c r="V32" i="7"/>
  <c r="U32" i="7"/>
  <c r="T32" i="7"/>
  <c r="S32" i="7"/>
  <c r="R32" i="7"/>
  <c r="X32" i="7" s="1"/>
  <c r="W31" i="7"/>
  <c r="V31" i="7"/>
  <c r="U31" i="7"/>
  <c r="T31" i="7"/>
  <c r="S31" i="7"/>
  <c r="R31" i="7"/>
  <c r="W30" i="7"/>
  <c r="V30" i="7"/>
  <c r="U30" i="7"/>
  <c r="T30" i="7"/>
  <c r="S30" i="7"/>
  <c r="R30" i="7"/>
  <c r="X30" i="7" s="1"/>
  <c r="W29" i="7"/>
  <c r="V29" i="7"/>
  <c r="U29" i="7"/>
  <c r="T29" i="7"/>
  <c r="S29" i="7"/>
  <c r="R29" i="7"/>
  <c r="W28" i="7"/>
  <c r="V28" i="7"/>
  <c r="U28" i="7"/>
  <c r="T28" i="7"/>
  <c r="S28" i="7"/>
  <c r="R28" i="7"/>
  <c r="X28" i="7" s="1"/>
  <c r="W27" i="7"/>
  <c r="V27" i="7"/>
  <c r="U27" i="7"/>
  <c r="T27" i="7"/>
  <c r="S27" i="7"/>
  <c r="R27" i="7"/>
  <c r="X27" i="7" l="1"/>
  <c r="X29" i="7"/>
  <c r="X31" i="7"/>
  <c r="X33" i="7"/>
  <c r="X37" i="7"/>
  <c r="X39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53" i="18" l="1"/>
  <c r="J53" i="18"/>
  <c r="M53" i="18"/>
  <c r="I63" i="18"/>
  <c r="N63" i="18"/>
  <c r="I53" i="18"/>
  <c r="N53" i="18"/>
  <c r="E63" i="18"/>
  <c r="J63" i="18"/>
  <c r="F63" i="18"/>
  <c r="K63" i="18"/>
  <c r="G63" i="18"/>
  <c r="M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D56" i="18" s="1"/>
  <c r="J55" i="18" s="1"/>
  <c r="H63" i="18"/>
  <c r="D66" i="18" s="1"/>
  <c r="D24" i="15"/>
  <c r="C23" i="15"/>
  <c r="E31" i="18" l="1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36" i="7" l="1"/>
  <c r="R35" i="7"/>
  <c r="T36" i="7"/>
  <c r="T35" i="7"/>
  <c r="V36" i="7"/>
  <c r="V35" i="7"/>
  <c r="S36" i="7"/>
  <c r="S35" i="7"/>
  <c r="U36" i="7"/>
  <c r="U35" i="7"/>
  <c r="W36" i="7"/>
  <c r="W35" i="7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40" i="7" l="1"/>
  <c r="N40" i="7"/>
  <c r="L40" i="7"/>
  <c r="J40" i="7"/>
  <c r="H40" i="7"/>
  <c r="P39" i="7"/>
  <c r="N39" i="7"/>
  <c r="L39" i="7"/>
  <c r="J39" i="7"/>
  <c r="H39" i="7"/>
  <c r="P38" i="7"/>
  <c r="N38" i="7"/>
  <c r="L38" i="7"/>
  <c r="J38" i="7"/>
  <c r="H38" i="7"/>
  <c r="P37" i="7"/>
  <c r="N37" i="7"/>
  <c r="L37" i="7"/>
  <c r="J37" i="7"/>
  <c r="H37" i="7"/>
  <c r="P36" i="7"/>
  <c r="N36" i="7"/>
  <c r="L36" i="7"/>
  <c r="J36" i="7"/>
  <c r="H36" i="7"/>
  <c r="P35" i="7"/>
  <c r="N35" i="7"/>
  <c r="L35" i="7"/>
  <c r="J35" i="7"/>
  <c r="H35" i="7"/>
  <c r="P34" i="7"/>
  <c r="N34" i="7"/>
  <c r="L34" i="7"/>
  <c r="J34" i="7"/>
  <c r="H34" i="7"/>
  <c r="P33" i="7"/>
  <c r="N33" i="7"/>
  <c r="L33" i="7"/>
  <c r="J33" i="7"/>
  <c r="H33" i="7"/>
  <c r="P32" i="7"/>
  <c r="N32" i="7"/>
  <c r="L32" i="7"/>
  <c r="J32" i="7"/>
  <c r="H32" i="7"/>
  <c r="P31" i="7"/>
  <c r="N31" i="7"/>
  <c r="L31" i="7"/>
  <c r="J31" i="7"/>
  <c r="H31" i="7"/>
  <c r="P30" i="7"/>
  <c r="N30" i="7"/>
  <c r="L30" i="7"/>
  <c r="J30" i="7"/>
  <c r="H30" i="7"/>
  <c r="P29" i="7"/>
  <c r="N29" i="7"/>
  <c r="L29" i="7"/>
  <c r="J29" i="7"/>
  <c r="H29" i="7"/>
  <c r="P28" i="7"/>
  <c r="N28" i="7"/>
  <c r="L28" i="7"/>
  <c r="J28" i="7"/>
  <c r="H28" i="7"/>
  <c r="P27" i="7"/>
  <c r="N27" i="7"/>
  <c r="L27" i="7"/>
  <c r="J27" i="7"/>
  <c r="H27" i="7"/>
  <c r="M27" i="7"/>
  <c r="I27" i="7"/>
  <c r="O40" i="7"/>
  <c r="M40" i="7"/>
  <c r="K40" i="7"/>
  <c r="I40" i="7"/>
  <c r="F40" i="7"/>
  <c r="O39" i="7"/>
  <c r="M39" i="7"/>
  <c r="K39" i="7"/>
  <c r="I39" i="7"/>
  <c r="F39" i="7"/>
  <c r="O38" i="7"/>
  <c r="M38" i="7"/>
  <c r="K38" i="7"/>
  <c r="I38" i="7"/>
  <c r="F38" i="7"/>
  <c r="O37" i="7"/>
  <c r="M37" i="7"/>
  <c r="K37" i="7"/>
  <c r="I37" i="7"/>
  <c r="F37" i="7"/>
  <c r="O36" i="7"/>
  <c r="M36" i="7"/>
  <c r="K36" i="7"/>
  <c r="I36" i="7"/>
  <c r="F36" i="7"/>
  <c r="O35" i="7"/>
  <c r="M35" i="7"/>
  <c r="K35" i="7"/>
  <c r="I35" i="7"/>
  <c r="F35" i="7"/>
  <c r="O34" i="7"/>
  <c r="M34" i="7"/>
  <c r="K34" i="7"/>
  <c r="I34" i="7"/>
  <c r="F34" i="7"/>
  <c r="O33" i="7"/>
  <c r="M33" i="7"/>
  <c r="K33" i="7"/>
  <c r="I33" i="7"/>
  <c r="F33" i="7"/>
  <c r="O32" i="7"/>
  <c r="M32" i="7"/>
  <c r="K32" i="7"/>
  <c r="I32" i="7"/>
  <c r="F32" i="7"/>
  <c r="O31" i="7"/>
  <c r="M31" i="7"/>
  <c r="K31" i="7"/>
  <c r="I31" i="7"/>
  <c r="F31" i="7"/>
  <c r="O30" i="7"/>
  <c r="M30" i="7"/>
  <c r="K30" i="7"/>
  <c r="I30" i="7"/>
  <c r="F30" i="7"/>
  <c r="O29" i="7"/>
  <c r="M29" i="7"/>
  <c r="K29" i="7"/>
  <c r="I29" i="7"/>
  <c r="F29" i="7"/>
  <c r="O28" i="7"/>
  <c r="M28" i="7"/>
  <c r="K28" i="7"/>
  <c r="I28" i="7"/>
  <c r="F28" i="7"/>
  <c r="O27" i="7"/>
  <c r="K27" i="7"/>
  <c r="F27" i="7"/>
  <c r="X35" i="7"/>
  <c r="X36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27" i="7"/>
  <c r="Q29" i="7"/>
  <c r="Q31" i="7"/>
  <c r="Q33" i="7"/>
  <c r="Q35" i="7"/>
  <c r="Q37" i="7"/>
  <c r="Q39" i="7"/>
  <c r="Q28" i="7"/>
  <c r="Q30" i="7"/>
  <c r="Q32" i="7"/>
  <c r="Q34" i="7"/>
  <c r="Q36" i="7"/>
  <c r="Q38" i="7"/>
  <c r="Q40" i="7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<sst xmlns="http://schemas.openxmlformats.org/spreadsheetml/2006/main" count="1407" uniqueCount="698">
  <si>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</si>
  <si>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</si>
  <si>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</si>
  <si>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</si>
  <si>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</si>
  <si>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</si>
  <si>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</si>
  <si>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</si>
  <si>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</si>
  <si>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</si>
  <si>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</si>
  <si>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</si>
  <si>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</si>
  <si>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</si>
  <si>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</si>
  <si>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</si>
  <si>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</si>
  <si>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</si>
  <si>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</si>
  <si>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</si>
  <si>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</si>
  <si>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</si>
  <si>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</si>
  <si>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</si>
  <si>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</si>
  <si>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</si>
  <si>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</si>
  <si>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</si>
  <si>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</si>
  <si>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</si>
  <si>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</si>
  <si>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</si>
  <si>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</si>
  <si>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</si>
  <si>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</si>
  <si>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</si>
  <si>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</si>
  <si>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</si>
  <si>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</si>
  <si>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</si>
  <si>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</si>
  <si>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</si>
  <si>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</si>
  <si>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</si>
  <si>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</si>
  <si>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</si>
  <si>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</si>
  <si>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</si>
  <si>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</si>
  <si>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</si>
  <si>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</si>
  <si>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</si>
  <si>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</si>
  <si>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</si>
  <si>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</si>
  <si>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</si>
  <si>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</si>
  <si>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</si>
  <si>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</si>
  <si>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</si>
  <si>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</si>
  <si>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</si>
  <si>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</si>
  <si>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</si>
  <si>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</si>
  <si>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</si>
  <si>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</si>
  <si>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</si>
  <si>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</si>
  <si>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</si>
  <si>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</si>
  <si>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</si>
  <si>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</si>
  <si>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</si>
  <si>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</si>
  <si>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</si>
  <si>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</si>
  <si>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</si>
  <si>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</si>
  <si>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</si>
  <si>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</si>
  <si>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</si>
  <si>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</si>
  <si>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</si>
  <si>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</si>
  <si>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</si>
  <si>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</si>
  <si>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</si>
  <si>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</si>
  <si>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</si>
  <si>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</si>
  <si>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</si>
  <si>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</si>
  <si>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</si>
  <si>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</si>
  <si>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</si>
  <si>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</si>
  <si>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</si>
  <si>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</si>
  <si>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</si>
  <si>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</si>
  <si>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</si>
  <si>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</si>
  <si>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</si>
  <si>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</si>
  <si>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</si>
  <si>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</si>
  <si>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</si>
  <si>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</si>
  <si>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</si>
  <si>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</si>
  <si>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</si>
  <si>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</si>
  <si>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</si>
  <si>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</si>
  <si>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</si>
  <si>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</si>
  <si>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</si>
  <si>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</si>
  <si>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</si>
  <si>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</si>
  <si>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</si>
  <si>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</si>
  <si>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</si>
  <si>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</si>
  <si>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</si>
  <si>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</si>
  <si>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</si>
  <si>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</si>
  <si>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</si>
  <si>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</si>
  <si>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</si>
  <si>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</si>
  <si>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</si>
  <si>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</si>
  <si>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</si>
  <si>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</si>
  <si>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</si>
  <si>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</si>
  <si>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</si>
  <si>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</si>
  <si>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</si>
  <si>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</si>
  <si>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</si>
  <si>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</si>
  <si>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</si>
  <si>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</si>
  <si>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</si>
  <si>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</si>
  <si>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</si>
  <si>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</si>
  <si>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</si>
  <si>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</si>
  <si>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</si>
  <si>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</si>
  <si>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</si>
  <si>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</si>
  <si>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</si>
  <si>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</si>
  <si>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</si>
  <si>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</si>
  <si>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</si>
  <si>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</si>
  <si>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</si>
  <si>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</si>
  <si>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</si>
  <si>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</si>
  <si>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</si>
  <si>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</si>
  <si>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</si>
  <si>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</si>
  <si>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</si>
  <si>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</si>
  <si>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</si>
  <si>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</si>
  <si>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</si>
  <si>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</si>
  <si>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</si>
  <si>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</si>
  <si>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</si>
  <si>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</si>
  <si>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</si>
  <si>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</si>
  <si>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</si>
  <si>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</si>
  <si>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</si>
  <si>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</si>
  <si>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</si>
  <si>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</si>
  <si>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</si>
  <si>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</si>
  <si>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</si>
  <si>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</si>
  <si>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</si>
  <si>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</si>
  <si>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</si>
  <si>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</si>
  <si>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</si>
  <si>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</si>
  <si>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</si>
  <si>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</si>
  <si>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</si>
  <si>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</si>
  <si>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</si>
  <si>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</si>
  <si>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</si>
  <si>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</si>
  <si>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</si>
  <si>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</si>
  <si>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</si>
  <si>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</si>
  <si>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</si>
  <si>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</si>
  <si>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</si>
  <si>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</si>
  <si>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</si>
  <si>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</si>
  <si>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</si>
  <si>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</si>
  <si>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</si>
  <si>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</si>
  <si>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</si>
  <si>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</si>
  <si>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</si>
  <si>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</si>
  <si>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</si>
  <si>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</si>
  <si>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</si>
  <si>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</si>
  <si>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</si>
  <si>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</si>
  <si>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</si>
  <si>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</si>
  <si>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</si>
  <si>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</si>
  <si>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</si>
  <si>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</si>
  <si>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</si>
  <si>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</si>
  <si>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</si>
  <si>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</si>
  <si>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</si>
  <si>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</si>
  <si>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</si>
  <si>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</si>
  <si>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</si>
  <si>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</si>
  <si>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</si>
  <si>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</si>
  <si>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</si>
  <si>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</si>
  <si>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</si>
  <si>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</si>
  <si>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</si>
  <si>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</si>
  <si>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</si>
  <si>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</si>
  <si>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</si>
  <si>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</si>
  <si>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</si>
  <si>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</si>
  <si>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</si>
  <si>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</si>
  <si>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</si>
  <si>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</si>
  <si>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</si>
  <si>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</si>
  <si>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</si>
  <si>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</si>
  <si>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</si>
  <si>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</si>
  <si>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</si>
  <si>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</si>
  <si>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</si>
  <si>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</si>
  <si>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</si>
  <si>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</si>
  <si>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</si>
  <si>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</si>
  <si>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</si>
  <si>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</si>
  <si>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</si>
  <si>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</si>
  <si>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</si>
  <si>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</si>
  <si>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</si>
  <si>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</si>
  <si>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</si>
  <si>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</si>
  <si>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</si>
  <si>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</si>
  <si>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</si>
  <si>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</si>
  <si>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</si>
  <si>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</si>
  <si>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</si>
  <si>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</si>
  <si>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</si>
  <si>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</si>
  <si>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</si>
  <si>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</si>
  <si>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</si>
  <si>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</si>
  <si>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</si>
  <si>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</si>
  <si>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</si>
  <si>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</si>
  <si>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</si>
  <si>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</si>
  <si>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</si>
  <si>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</si>
  <si>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</si>
  <si>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</si>
  <si>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</si>
  <si>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</si>
  <si>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</si>
  <si>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</si>
  <si>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</si>
  <si>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</si>
  <si>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</si>
  <si>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</si>
  <si>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</si>
  <si>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</si>
  <si>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</si>
  <si>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</si>
  <si>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</si>
  <si>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</si>
  <si>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</si>
  <si>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</si>
  <si>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</si>
  <si>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</si>
  <si>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</si>
  <si>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</si>
  <si>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</si>
  <si>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</si>
  <si>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</si>
  <si>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</si>
  <si>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</si>
  <si>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</si>
  <si>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</si>
  <si>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</si>
  <si>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</si>
  <si>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</si>
  <si>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</si>
  <si>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</si>
  <si>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</si>
  <si>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</si>
  <si>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</si>
  <si>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</si>
  <si>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</si>
  <si>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</si>
  <si>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</si>
  <si>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</si>
  <si>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</si>
  <si>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</si>
  <si>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</si>
  <si>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</si>
  <si>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</si>
  <si>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</si>
  <si>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</si>
  <si>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</si>
  <si>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</si>
  <si>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</si>
  <si>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</si>
  <si>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</si>
  <si>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</si>
  <si>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</si>
  <si>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</si>
  <si>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</si>
  <si>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</si>
  <si>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</si>
  <si>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</si>
  <si>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</si>
  <si>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</si>
  <si>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</si>
  <si>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</si>
  <si>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</si>
  <si>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</si>
  <si>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</si>
  <si>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</si>
  <si>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</si>
  <si>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</si>
  <si>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</si>
  <si>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</si>
  <si>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</si>
  <si>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</si>
  <si>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</si>
  <si>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</si>
  <si>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</si>
  <si>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</si>
  <si>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</si>
  <si>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</si>
  <si>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</si>
  <si>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</si>
  <si>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</si>
  <si>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</si>
  <si>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</si>
  <si>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</si>
  <si>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</si>
  <si>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</si>
  <si>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</si>
  <si>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</si>
  <si>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</si>
  <si>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</si>
  <si>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</si>
  <si>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</si>
  <si>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</si>
  <si>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</si>
  <si>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</si>
  <si>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</si>
  <si>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</si>
  <si>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</si>
  <si>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</si>
  <si>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</si>
  <si>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</si>
  <si>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</si>
  <si>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</si>
  <si>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</si>
  <si>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</si>
  <si>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</si>
  <si>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</si>
  <si>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</si>
  <si>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</si>
  <si>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</si>
  <si>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</si>
  <si>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</si>
  <si>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</si>
  <si>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</si>
  <si>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</si>
  <si>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</si>
  <si>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</si>
  <si>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</si>
  <si>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</si>
  <si>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</si>
  <si>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</si>
  <si>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</si>
  <si>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</si>
  <si>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</si>
  <si>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</si>
  <si>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</si>
  <si>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</si>
  <si>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</si>
  <si>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</si>
  <si>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</si>
  <si>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</si>
  <si>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</si>
  <si>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</si>
  <si>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</si>
  <si>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</si>
  <si>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</si>
  <si>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</si>
  <si>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</si>
  <si>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</si>
  <si>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</si>
  <si>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</si>
  <si>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</si>
  <si>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</si>
  <si>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</si>
  <si>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</si>
  <si>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</si>
  <si>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</si>
  <si>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</si>
  <si>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</si>
  <si>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</si>
  <si>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</si>
  <si>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</si>
  <si>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</si>
  <si>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</si>
  <si>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</si>
  <si>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</si>
  <si>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</si>
  <si>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</si>
  <si>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</si>
  <si>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</si>
  <si>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</si>
  <si>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</si>
  <si>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</si>
  <si>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</si>
  <si>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</si>
  <si>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</si>
  <si>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</si>
  <si>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</si>
  <si>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</si>
  <si>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</si>
  <si>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</si>
  <si>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</si>
  <si>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</si>
  <si>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</si>
  <si>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</si>
  <si>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</si>
  <si>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</si>
  <si>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</si>
  <si>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</si>
  <si>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</si>
  <si>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</si>
  <si>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</si>
  <si>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</si>
  <si>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</si>
  <si>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</si>
  <si>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</si>
  <si>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</si>
  <si>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</si>
  <si>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</si>
  <si>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</si>
  <si>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</si>
  <si>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</si>
  <si>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</si>
  <si>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</si>
  <si>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</si>
  <si>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</si>
  <si>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</si>
  <si>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</si>
  <si>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</si>
  <si>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</si>
  <si>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</si>
  <si>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</si>
  <si>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</si>
  <si>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</si>
  <si>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</si>
  <si>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</si>
  <si>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</si>
  <si>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</si>
  <si>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</si>
  <si>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</si>
  <si>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</si>
  <si>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</si>
  <si>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</si>
  <si>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</si>
  <si>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</si>
  <si>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</si>
  <si>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</si>
  <si>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</si>
  <si>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</si>
  <si>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</si>
  <si>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</si>
  <si>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</si>
  <si>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</si>
  <si>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</si>
  <si>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</si>
  <si>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</si>
  <si>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</si>
  <si>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</si>
  <si>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</si>
  <si>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</si>
  <si>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</si>
  <si>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</si>
  <si>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</si>
  <si>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</si>
  <si>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</si>
  <si>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</si>
  <si>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</si>
  <si>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</si>
  <si>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</si>
  <si>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</si>
  <si>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</si>
  <si>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</si>
  <si>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</si>
  <si>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</si>
  <si>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</si>
  <si>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</si>
  <si>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</si>
  <si>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</si>
  <si>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</si>
  <si>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</si>
  <si>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</si>
  <si>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</si>
  <si>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</si>
  <si>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</si>
  <si>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</si>
  <si>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</si>
  <si>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</si>
  <si>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</si>
  <si>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</si>
  <si>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</si>
  <si>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</si>
  <si>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</si>
  <si>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</si>
  <si>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</si>
  <si>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</si>
  <si>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</si>
  <si>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</si>
  <si>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</si>
  <si>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</si>
  <si>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</si>
  <si>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</si>
  <si>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</si>
  <si>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</si>
  <si>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</si>
  <si>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</si>
  <si>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</si>
  <si>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</si>
  <si>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</si>
  <si>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</si>
  <si>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</si>
  <si>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</si>
  <si>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</si>
  <si>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</si>
  <si>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</si>
  <si>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</si>
  <si>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</si>
  <si>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</si>
  <si>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</si>
  <si>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</si>
  <si>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</si>
  <si>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</si>
  <si>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</si>
  <si>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</si>
  <si>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</si>
  <si>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</si>
  <si>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</si>
  <si>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</si>
  <si>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</si>
  <si>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</si>
  <si>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</si>
  <si>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</si>
  <si>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</si>
  <si>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</si>
  <si>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</si>
  <si>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</si>
  <si>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</si>
  <si>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</si>
  <si>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</si>
  <si>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</si>
  <si>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</si>
  <si>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</si>
  <si>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</si>
  <si>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</si>
  <si>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</si>
  <si>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</si>
  <si>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</si>
  <si>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</si>
  <si>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</si>
  <si>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</si>
  <si>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</si>
  <si>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</si>
  <si>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</si>
  <si>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</si>
  <si>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</si>
  <si>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</si>
  <si>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</si>
  <si>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</si>
  <si>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</si>
  <si>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</si>
  <si>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</si>
  <si>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</si>
  <si>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</si>
  <si>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</si>
  <si>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</si>
  <si>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</si>
  <si>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</si>
  <si>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</si>
  <si>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</si>
  <si>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</si>
  <si>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</si>
  <si>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</si>
  <si>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</si>
  <si>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</si>
  <si>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</si>
  <si>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</si>
  <si>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</si>
  <si>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WEV Warendorfer Energieversorgung GmbH</t>
  </si>
  <si>
    <t>Hellegraben 25</t>
  </si>
  <si>
    <t>D-48231</t>
  </si>
  <si>
    <t>Warendorf</t>
  </si>
  <si>
    <t>netzservice@swwaf.de</t>
  </si>
  <si>
    <t>NCG H-Gas</t>
  </si>
  <si>
    <t>NCG L-Gas</t>
  </si>
  <si>
    <t>Ahlen/Westf.</t>
  </si>
  <si>
    <t>meteomedia</t>
  </si>
  <si>
    <t>NCLN007007910000</t>
  </si>
  <si>
    <t>DE_HEF04</t>
  </si>
  <si>
    <t>DE_GMK03</t>
  </si>
  <si>
    <t>DE_GMK04</t>
  </si>
  <si>
    <t>DE_GHA03</t>
  </si>
  <si>
    <t>DE_GHA04</t>
  </si>
  <si>
    <t>DE_GKO03</t>
  </si>
  <si>
    <t>DE_GKO04</t>
  </si>
  <si>
    <t>DE_GBD03</t>
  </si>
  <si>
    <t>DE_GBD04</t>
  </si>
  <si>
    <t>DE_GGA03</t>
  </si>
  <si>
    <t>DE_GGA04</t>
  </si>
  <si>
    <t>DE_GBH03</t>
  </si>
  <si>
    <t>DE_GBH04</t>
  </si>
  <si>
    <t>DE_GWA03</t>
  </si>
  <si>
    <t>DE_GWA04</t>
  </si>
  <si>
    <t>DE_GGB03</t>
  </si>
  <si>
    <t>DE_GGB04</t>
  </si>
  <si>
    <t>DE_GBA03</t>
  </si>
  <si>
    <t>DE_GBA04</t>
  </si>
  <si>
    <t>DE_GPD03</t>
  </si>
  <si>
    <t>DE_GPD04</t>
  </si>
  <si>
    <t>DE_GMF03</t>
  </si>
  <si>
    <t>DE_GMF04</t>
  </si>
  <si>
    <t>DE_GHD03</t>
  </si>
  <si>
    <t>DE_GHD04</t>
  </si>
  <si>
    <t>DE_HMF04</t>
  </si>
  <si>
    <t>Netzservice</t>
  </si>
  <si>
    <t>02581-63603-404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</si>
</sst>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service@swwaf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110" zoomScaleNormal="11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470</v>
      </c>
    </row>
    <row r="3" spans="2:7"/>
    <row r="4" spans="2:7">
      <c r="B4" s="8" t="s">
        <v>465</v>
      </c>
    </row>
    <row r="5" spans="2:7">
      <c r="B5" s="8" t="s">
        <v>466</v>
      </c>
    </row>
    <row r="6" spans="2:7"/>
    <row r="7" spans="2:7">
      <c r="B7" t="s">
        <v>340</v>
      </c>
    </row>
    <row r="8" spans="2:7" s="8" customFormat="1">
      <c r="B8" s="8" t="s">
        <v>467</v>
      </c>
    </row>
    <row r="9" spans="2:7" s="8" customFormat="1"/>
    <row r="10" spans="2:7" s="8" customFormat="1">
      <c r="B10" s="14" t="s">
        <v>452</v>
      </c>
    </row>
    <row r="11" spans="2:7" s="8" customFormat="1">
      <c r="B11" s="8" t="s">
        <v>504</v>
      </c>
    </row>
    <row r="12" spans="2:7" s="8" customFormat="1">
      <c r="B12" s="8" t="s">
        <v>505</v>
      </c>
    </row>
    <row r="13" spans="2:7" s="8" customFormat="1">
      <c r="B13" s="8" t="s">
        <v>513</v>
      </c>
    </row>
    <row r="14" spans="2:7" s="8" customFormat="1"/>
    <row r="15" spans="2:7">
      <c r="B15" s="20" t="s">
        <v>469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468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8" t="s">
        <v>659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8" sqref="D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5.425781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260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508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509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263</v>
      </c>
      <c r="D9" s="41" t="s">
        <v>660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490</v>
      </c>
      <c r="D11" s="339">
        <v>9870079100003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264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265</v>
      </c>
      <c r="D15" s="43" t="s">
        <v>662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266</v>
      </c>
      <c r="D17" s="41" t="s">
        <v>663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267</v>
      </c>
      <c r="D19" s="41" t="s">
        <v>696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268</v>
      </c>
      <c r="D21" s="340" t="s">
        <v>664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269</v>
      </c>
      <c r="D23" s="41" t="s">
        <v>697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491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464</v>
      </c>
      <c r="D27" s="42" t="s">
        <v>399</v>
      </c>
      <c r="E27" s="39"/>
      <c r="F27" s="11"/>
    </row>
    <row r="28" spans="1:15">
      <c r="B28" s="15"/>
      <c r="C28" s="65" t="s">
        <v>507</v>
      </c>
      <c r="D28" s="47" t="str">
        <f>IF(D27&lt;&gt;C28,VLOOKUP(D27,$C$29:$D$48,2,FALSE),C28)</f>
        <v>NCG L-Gas</v>
      </c>
      <c r="E28" s="38"/>
      <c r="F28" s="11"/>
      <c r="G28" s="2"/>
    </row>
    <row r="29" spans="1:15">
      <c r="B29" s="15"/>
      <c r="C29" s="22" t="s">
        <v>398</v>
      </c>
      <c r="D29" s="44" t="s">
        <v>665</v>
      </c>
      <c r="E29" s="40"/>
      <c r="F29" s="11"/>
      <c r="G29" s="2"/>
    </row>
    <row r="30" spans="1:15">
      <c r="B30" s="15"/>
      <c r="C30" s="22" t="s">
        <v>399</v>
      </c>
      <c r="D30" s="44" t="s">
        <v>666</v>
      </c>
      <c r="E30" s="40"/>
      <c r="F30" s="46"/>
      <c r="G30" s="2"/>
    </row>
    <row r="31" spans="1:15">
      <c r="B31" s="15"/>
      <c r="C31" s="22" t="s">
        <v>424</v>
      </c>
      <c r="D31" s="45"/>
      <c r="E31" s="40"/>
      <c r="F31" s="46"/>
      <c r="G31" s="2"/>
    </row>
    <row r="32" spans="1:15">
      <c r="B32" s="15"/>
      <c r="C32" s="22" t="s">
        <v>425</v>
      </c>
      <c r="D32" s="45"/>
      <c r="E32" s="40"/>
      <c r="F32" s="46"/>
      <c r="G32" s="2"/>
    </row>
    <row r="33" spans="2:7">
      <c r="B33" s="15"/>
      <c r="C33" s="22" t="s">
        <v>426</v>
      </c>
      <c r="D33" s="44"/>
      <c r="E33" s="40"/>
      <c r="F33" s="46"/>
      <c r="G33" s="2"/>
    </row>
    <row r="34" spans="2:7">
      <c r="B34" s="15"/>
      <c r="C34" s="22" t="s">
        <v>427</v>
      </c>
      <c r="D34" s="45"/>
      <c r="E34" s="40"/>
      <c r="F34" s="46"/>
      <c r="G34" s="2"/>
    </row>
    <row r="35" spans="2:7">
      <c r="B35" s="15"/>
      <c r="C35" s="22" t="s">
        <v>428</v>
      </c>
      <c r="D35" s="45"/>
      <c r="E35" s="40"/>
      <c r="F35" s="46"/>
      <c r="G35" s="2"/>
    </row>
    <row r="36" spans="2:7">
      <c r="B36" s="15"/>
      <c r="C36" s="22" t="s">
        <v>429</v>
      </c>
      <c r="D36" s="45"/>
      <c r="E36" s="40"/>
      <c r="F36" s="46"/>
      <c r="G36" s="2"/>
    </row>
    <row r="37" spans="2:7">
      <c r="B37" s="15"/>
      <c r="C37" s="22" t="s">
        <v>430</v>
      </c>
      <c r="D37" s="45"/>
      <c r="E37" s="40"/>
      <c r="F37" s="46"/>
      <c r="G37" s="2"/>
    </row>
    <row r="38" spans="2:7">
      <c r="B38" s="15"/>
      <c r="C38" s="22" t="s">
        <v>436</v>
      </c>
      <c r="D38" s="45"/>
      <c r="E38" s="40"/>
      <c r="F38" s="46"/>
      <c r="G38" s="2"/>
    </row>
    <row r="39" spans="2:7">
      <c r="B39" s="15"/>
      <c r="C39" s="22" t="s">
        <v>437</v>
      </c>
      <c r="D39" s="45"/>
      <c r="E39" s="40"/>
      <c r="F39" s="46"/>
      <c r="G39" s="2"/>
    </row>
    <row r="40" spans="2:7">
      <c r="B40" s="15"/>
      <c r="C40" s="22" t="s">
        <v>438</v>
      </c>
      <c r="D40" s="45"/>
      <c r="E40" s="40"/>
      <c r="F40" s="46"/>
      <c r="G40" s="2"/>
    </row>
    <row r="41" spans="2:7">
      <c r="B41" s="15"/>
      <c r="C41" s="22" t="s">
        <v>439</v>
      </c>
      <c r="D41" s="45"/>
      <c r="E41" s="40"/>
      <c r="F41" s="46"/>
      <c r="G41" s="2"/>
    </row>
    <row r="42" spans="2:7">
      <c r="B42" s="15"/>
      <c r="C42" s="22" t="s">
        <v>440</v>
      </c>
      <c r="D42" s="45"/>
      <c r="E42" s="40"/>
      <c r="F42" s="46"/>
      <c r="G42" s="2"/>
    </row>
    <row r="43" spans="2:7">
      <c r="B43" s="15"/>
      <c r="C43" s="22" t="s">
        <v>441</v>
      </c>
      <c r="D43" s="45"/>
      <c r="E43" s="40"/>
      <c r="F43" s="46"/>
      <c r="G43" s="2"/>
    </row>
    <row r="44" spans="2:7">
      <c r="B44" s="15"/>
      <c r="C44" s="22" t="s">
        <v>442</v>
      </c>
      <c r="D44" s="45"/>
      <c r="E44" s="40"/>
      <c r="F44" s="46"/>
      <c r="G44" s="2"/>
    </row>
    <row r="45" spans="2:7">
      <c r="B45" s="15"/>
      <c r="C45" s="22" t="s">
        <v>443</v>
      </c>
      <c r="D45" s="45"/>
      <c r="E45" s="40"/>
      <c r="F45" s="46"/>
      <c r="G45" s="2"/>
    </row>
    <row r="46" spans="2:7">
      <c r="B46" s="15"/>
      <c r="C46" s="22" t="s">
        <v>444</v>
      </c>
      <c r="D46" s="45"/>
      <c r="E46" s="40"/>
      <c r="F46" s="46"/>
    </row>
    <row r="47" spans="2:7">
      <c r="B47" s="15"/>
      <c r="C47" s="22" t="s">
        <v>445</v>
      </c>
      <c r="D47" s="45"/>
      <c r="E47" s="40"/>
      <c r="F47" s="46"/>
    </row>
    <row r="48" spans="2:7">
      <c r="B48" s="15"/>
      <c r="C48" s="22" t="s">
        <v>446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3" priority="2">
      <formula>IF(CELL("Zeile",D29)&lt;$D$25+CELL("Zeile",$D$29),1,0)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28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271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450</v>
      </c>
      <c r="D5" s="57" t="str">
        <f>Netzbetreiber!$D$9</f>
        <v>WEV Warendorfer Energieversorgung GmbH</v>
      </c>
      <c r="H5" s="67"/>
      <c r="I5" s="67"/>
      <c r="J5" s="67"/>
      <c r="K5" s="67"/>
    </row>
    <row r="6" spans="2:15" ht="15" customHeight="1">
      <c r="B6" s="22"/>
      <c r="C6" s="61" t="s">
        <v>449</v>
      </c>
      <c r="D6" s="57" t="str">
        <f>Netzbetreiber!D28</f>
        <v>NCG L-Gas</v>
      </c>
      <c r="E6" s="15"/>
      <c r="H6" s="67"/>
      <c r="I6" s="67"/>
      <c r="J6" s="67"/>
      <c r="K6" s="67"/>
    </row>
    <row r="7" spans="2:15" ht="15" customHeight="1">
      <c r="B7" s="22"/>
      <c r="C7" s="59" t="s">
        <v>493</v>
      </c>
      <c r="D7" s="341">
        <f>Netzbetreiber!$D$11</f>
        <v>9870079100003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270</v>
      </c>
      <c r="D11" s="33" t="s">
        <v>258</v>
      </c>
      <c r="E11" s="15"/>
      <c r="H11" s="276" t="s">
        <v>258</v>
      </c>
      <c r="I11" s="276" t="s">
        <v>261</v>
      </c>
      <c r="J11" s="276" t="s">
        <v>262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624</v>
      </c>
      <c r="D13" s="33" t="s">
        <v>626</v>
      </c>
      <c r="E13" s="15"/>
      <c r="H13" s="276" t="s">
        <v>625</v>
      </c>
      <c r="I13" s="276" t="s">
        <v>626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435</v>
      </c>
      <c r="D15" s="42" t="s">
        <v>669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434</v>
      </c>
      <c r="D16" s="42" t="s">
        <v>433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85</v>
      </c>
      <c r="C18" s="31" t="s">
        <v>371</v>
      </c>
      <c r="D18" s="48" t="s">
        <v>259</v>
      </c>
      <c r="E18" s="15"/>
      <c r="H18" s="274" t="s">
        <v>259</v>
      </c>
      <c r="I18" s="274" t="s">
        <v>136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583</v>
      </c>
      <c r="I19" s="275" t="s">
        <v>494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495</v>
      </c>
      <c r="I20" s="275" t="s">
        <v>496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86</v>
      </c>
      <c r="C22" s="8" t="s">
        <v>622</v>
      </c>
      <c r="D22" s="48" t="s">
        <v>618</v>
      </c>
      <c r="E22" s="15"/>
      <c r="H22" s="272" t="s">
        <v>618</v>
      </c>
      <c r="I22" s="272" t="s">
        <v>619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620</v>
      </c>
      <c r="E23" s="15"/>
      <c r="H23" s="272" t="s">
        <v>621</v>
      </c>
      <c r="I23" s="8" t="s">
        <v>617</v>
      </c>
      <c r="J23" s="8"/>
      <c r="K23" s="8"/>
      <c r="L23" s="273"/>
    </row>
    <row r="24" spans="2:16" ht="15" customHeight="1">
      <c r="B24" s="22"/>
      <c r="C24" s="24" t="s">
        <v>623</v>
      </c>
      <c r="D24" s="24" t="str">
        <f>IF(D22=$H$22,L24,IF(D23=$H$24,M24,N24))</f>
        <v>=&gt;  Q(D) = KW  x  h(T, SLP-Typ)  x  F(WT)</v>
      </c>
      <c r="E24" s="15"/>
      <c r="H24" s="272" t="s">
        <v>620</v>
      </c>
      <c r="I24" s="272" t="s">
        <v>627</v>
      </c>
      <c r="J24" s="8"/>
      <c r="K24" s="8"/>
      <c r="L24" s="275" t="s">
        <v>628</v>
      </c>
      <c r="M24" s="275" t="s">
        <v>630</v>
      </c>
      <c r="N24" s="275" t="s">
        <v>629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373</v>
      </c>
      <c r="C26" s="6" t="s">
        <v>586</v>
      </c>
      <c r="D26" s="42" t="s">
        <v>137</v>
      </c>
      <c r="E26" s="15"/>
      <c r="H26" s="274" t="s">
        <v>135</v>
      </c>
      <c r="I26" s="274" t="s">
        <v>137</v>
      </c>
      <c r="J26" s="272"/>
      <c r="K26" s="272"/>
      <c r="L26" s="273"/>
    </row>
    <row r="27" spans="2:16" ht="15" customHeight="1">
      <c r="B27" s="7"/>
      <c r="C27" s="6" t="s">
        <v>631</v>
      </c>
      <c r="D27" s="42" t="s">
        <v>632</v>
      </c>
      <c r="E27" s="15"/>
      <c r="H27" s="308" t="s">
        <v>632</v>
      </c>
      <c r="I27" s="274" t="s">
        <v>633</v>
      </c>
      <c r="J27" s="274" t="s">
        <v>634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635</v>
      </c>
      <c r="I28" s="275" t="s">
        <v>636</v>
      </c>
      <c r="J28" s="275" t="s">
        <v>637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638</v>
      </c>
      <c r="I29" s="275" t="s">
        <v>639</v>
      </c>
      <c r="J29" s="275" t="s">
        <v>640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499</v>
      </c>
      <c r="C31" s="6" t="s">
        <v>585</v>
      </c>
      <c r="D31" s="42" t="s">
        <v>137</v>
      </c>
      <c r="E31" s="15"/>
      <c r="H31" s="274" t="s">
        <v>135</v>
      </c>
      <c r="I31" s="274" t="s">
        <v>137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641</v>
      </c>
      <c r="I32" s="275" t="s">
        <v>642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643</v>
      </c>
      <c r="I33" s="272" t="s">
        <v>638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557</v>
      </c>
      <c r="C35" s="24" t="s">
        <v>501</v>
      </c>
      <c r="D35" s="268">
        <v>29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558</v>
      </c>
      <c r="C37" s="5" t="s">
        <v>368</v>
      </c>
      <c r="D37" s="34">
        <v>1500000</v>
      </c>
      <c r="E37" s="15" t="s">
        <v>514</v>
      </c>
      <c r="I37" s="272"/>
      <c r="J37" s="272"/>
      <c r="K37" s="272"/>
      <c r="L37" s="272"/>
      <c r="M37" s="273"/>
    </row>
    <row r="38" spans="2:39" customFormat="1" ht="15" customHeight="1">
      <c r="C38" s="8" t="s">
        <v>497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559</v>
      </c>
      <c r="C40" s="5" t="s">
        <v>369</v>
      </c>
      <c r="D40" s="36">
        <v>500</v>
      </c>
      <c r="E40" s="15" t="s">
        <v>549</v>
      </c>
      <c r="H40" s="67"/>
      <c r="I40" s="67"/>
      <c r="J40" s="67"/>
      <c r="K40" s="67"/>
    </row>
    <row r="41" spans="2:39" ht="15" customHeight="1">
      <c r="C41" s="8" t="s">
        <v>498</v>
      </c>
    </row>
    <row r="42" spans="2:39" ht="15" customHeight="1">
      <c r="B42" s="7"/>
      <c r="C42" s="3"/>
    </row>
    <row r="43" spans="2:39" ht="15" customHeight="1">
      <c r="B43" s="7"/>
      <c r="C43" s="3" t="s">
        <v>548</v>
      </c>
    </row>
    <row r="44" spans="2:39" ht="18" customHeight="1">
      <c r="C44" s="3" t="s">
        <v>550</v>
      </c>
    </row>
    <row r="45" spans="2:39" ht="18" customHeight="1">
      <c r="C45" s="3"/>
    </row>
    <row r="46" spans="2:39" ht="15" customHeight="1">
      <c r="B46" s="22" t="s">
        <v>560</v>
      </c>
      <c r="C46" s="59" t="s">
        <v>584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595</v>
      </c>
      <c r="D48" s="44" t="s">
        <v>667</v>
      </c>
    </row>
    <row r="49" spans="3:4" ht="18" customHeight="1">
      <c r="C49" s="22" t="s">
        <v>596</v>
      </c>
      <c r="D49" s="44"/>
    </row>
    <row r="50" spans="3:4" ht="18" customHeight="1">
      <c r="C50" s="22" t="s">
        <v>597</v>
      </c>
      <c r="D50" s="44"/>
    </row>
    <row r="51" spans="3:4" ht="18" customHeight="1">
      <c r="C51" s="22" t="s">
        <v>598</v>
      </c>
      <c r="D51" s="44"/>
    </row>
    <row r="52" spans="3:4" ht="18" customHeight="1">
      <c r="C52" s="22" t="s">
        <v>599</v>
      </c>
      <c r="D52" s="44"/>
    </row>
    <row r="53" spans="3:4" ht="18" customHeight="1">
      <c r="C53" s="22" t="s">
        <v>600</v>
      </c>
      <c r="D53" s="44"/>
    </row>
    <row r="54" spans="3:4" ht="18" customHeight="1">
      <c r="C54" s="22" t="s">
        <v>601</v>
      </c>
      <c r="D54" s="44"/>
    </row>
    <row r="55" spans="3:4" ht="18" customHeight="1">
      <c r="C55" s="22" t="s">
        <v>602</v>
      </c>
      <c r="D55" s="44"/>
    </row>
    <row r="56" spans="3:4" ht="18" customHeight="1">
      <c r="C56" s="22" t="s">
        <v>603</v>
      </c>
      <c r="D56" s="44"/>
    </row>
    <row r="57" spans="3:4" ht="18" customHeight="1">
      <c r="C57" s="22" t="s">
        <v>604</v>
      </c>
      <c r="D57" s="44"/>
    </row>
    <row r="58" spans="3:4" ht="18" customHeight="1">
      <c r="C58" s="22" t="s">
        <v>605</v>
      </c>
      <c r="D58" s="44"/>
    </row>
    <row r="59" spans="3:4" ht="18" customHeight="1">
      <c r="C59" s="22" t="s">
        <v>606</v>
      </c>
      <c r="D59" s="44"/>
    </row>
    <row r="60" spans="3:4" ht="18" customHeight="1">
      <c r="C60" s="22" t="s">
        <v>607</v>
      </c>
      <c r="D60" s="44"/>
    </row>
    <row r="61" spans="3:4" ht="18" customHeight="1">
      <c r="C61" s="22" t="s">
        <v>608</v>
      </c>
      <c r="D61" s="44"/>
    </row>
    <row r="62" spans="3:4" ht="18" customHeight="1">
      <c r="C62" s="22" t="s">
        <v>609</v>
      </c>
      <c r="D62" s="44"/>
    </row>
  </sheetData>
  <conditionalFormatting sqref="D15">
    <cfRule type="expression" dxfId="61" priority="20">
      <formula>IF($D$11="Gaspool",1,0)</formula>
    </cfRule>
  </conditionalFormatting>
  <conditionalFormatting sqref="D16">
    <cfRule type="expression" dxfId="60" priority="17">
      <formula>IF($D$11="NCG",1,0)</formula>
    </cfRule>
  </conditionalFormatting>
  <conditionalFormatting sqref="D48:D62">
    <cfRule type="expression" dxfId="59" priority="16">
      <formula>IF(CELL("Zeile",D48)&lt;$D$46+CELL("Zeile",$D$48),1,0)</formula>
    </cfRule>
  </conditionalFormatting>
  <conditionalFormatting sqref="D49:D62">
    <cfRule type="expression" dxfId="58" priority="15">
      <formula>IF(CELL(D49)&lt;$D$36+27,1,0)</formula>
    </cfRule>
  </conditionalFormatting>
  <conditionalFormatting sqref="D23">
    <cfRule type="expression" dxfId="57" priority="14">
      <formula>IF($D$22=$H$22,1,0)</formula>
    </cfRule>
  </conditionalFormatting>
  <conditionalFormatting sqref="D31">
    <cfRule type="expression" dxfId="56" priority="3">
      <formula>IF($D$18="synthetisch",1,0)</formula>
    </cfRule>
  </conditionalFormatting>
  <conditionalFormatting sqref="D28">
    <cfRule type="expression" dxfId="55" priority="1">
      <formula>IF(AND($D$27=$I$27,$D$26=$H$26),1,0)</formula>
    </cfRule>
  </conditionalFormatting>
  <conditionalFormatting sqref="D26:D28">
    <cfRule type="expression" dxfId="54" priority="4">
      <formula>IF($D$18="analytisch",1,0)</formula>
    </cfRule>
  </conditionalFormatting>
  <conditionalFormatting sqref="D27">
    <cfRule type="expression" dxfId="53" priority="2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G25" sqref="G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552</v>
      </c>
    </row>
    <row r="3" spans="1:56" ht="15" customHeight="1">
      <c r="B3" s="171"/>
    </row>
    <row r="4" spans="1:56">
      <c r="B4" s="130"/>
      <c r="C4" s="55" t="s">
        <v>450</v>
      </c>
      <c r="D4" s="56"/>
      <c r="E4" s="57" t="s">
        <v>660</v>
      </c>
      <c r="F4" s="130"/>
      <c r="M4" s="130"/>
      <c r="N4" s="130"/>
      <c r="O4" s="130"/>
    </row>
    <row r="5" spans="1:56">
      <c r="B5" s="130"/>
      <c r="C5" s="55" t="s">
        <v>449</v>
      </c>
      <c r="D5" s="56"/>
      <c r="E5" s="57" t="str">
        <f>Netzbetreiber!D28</f>
        <v>NCG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493</v>
      </c>
      <c r="D6" s="56"/>
      <c r="E6" s="345">
        <v>9870079100003</v>
      </c>
      <c r="F6" s="345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530</v>
      </c>
      <c r="D9" s="130"/>
      <c r="E9" s="130"/>
      <c r="F9" s="154">
        <f>'SLP-Verfahren'!D46</f>
        <v>1</v>
      </c>
      <c r="H9" s="172" t="s">
        <v>610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594</v>
      </c>
      <c r="D10" s="130"/>
      <c r="E10" s="130"/>
      <c r="F10" s="299">
        <v>1</v>
      </c>
      <c r="G10" s="56"/>
      <c r="H10" s="172" t="s">
        <v>611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612</v>
      </c>
      <c r="D11" s="130"/>
      <c r="E11" s="130"/>
      <c r="F11" s="296" t="str">
        <f>INDEX('SLP-Verfahren'!D48:D62,'SLP-Temp-Gebiet #01'!F10)</f>
        <v>Ahlen/Westf.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593</v>
      </c>
      <c r="D13" s="342"/>
      <c r="E13" s="342"/>
      <c r="F13" s="183" t="s">
        <v>556</v>
      </c>
      <c r="G13" s="130" t="s">
        <v>554</v>
      </c>
      <c r="H13" s="265" t="s">
        <v>571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453</v>
      </c>
      <c r="D14" s="343"/>
      <c r="E14" s="89" t="s">
        <v>454</v>
      </c>
      <c r="F14" s="266" t="s">
        <v>86</v>
      </c>
      <c r="G14" s="267" t="s">
        <v>580</v>
      </c>
      <c r="H14" s="50">
        <v>0</v>
      </c>
      <c r="I14" s="56"/>
      <c r="J14" s="130"/>
      <c r="K14" s="130"/>
      <c r="L14" s="130"/>
      <c r="M14" s="130"/>
      <c r="N14" s="130"/>
      <c r="O14" s="173" t="s">
        <v>535</v>
      </c>
      <c r="R14" s="209" t="s">
        <v>572</v>
      </c>
      <c r="S14" s="209" t="s">
        <v>573</v>
      </c>
      <c r="T14" s="209" t="s">
        <v>574</v>
      </c>
      <c r="U14" s="209" t="s">
        <v>575</v>
      </c>
      <c r="V14" s="209" t="s">
        <v>555</v>
      </c>
      <c r="W14" s="209" t="s">
        <v>576</v>
      </c>
      <c r="X14" s="209" t="s">
        <v>577</v>
      </c>
      <c r="Y14" s="209" t="s">
        <v>578</v>
      </c>
      <c r="Z14" s="209" t="s">
        <v>579</v>
      </c>
      <c r="AA14" s="209" t="s">
        <v>580</v>
      </c>
      <c r="AB14" s="209" t="s">
        <v>581</v>
      </c>
      <c r="AC14" s="209" t="s">
        <v>582</v>
      </c>
    </row>
    <row r="15" spans="1:56" ht="19.5" customHeight="1">
      <c r="B15" s="130"/>
      <c r="C15" s="343" t="s">
        <v>390</v>
      </c>
      <c r="D15" s="343"/>
      <c r="E15" s="89" t="s">
        <v>454</v>
      </c>
      <c r="F15" s="266" t="s">
        <v>72</v>
      </c>
      <c r="G15" s="267" t="s">
        <v>574</v>
      </c>
      <c r="H15" s="50">
        <v>0</v>
      </c>
      <c r="I15" s="56"/>
      <c r="J15" s="130"/>
      <c r="K15" s="130"/>
      <c r="L15" s="130"/>
      <c r="M15" s="130"/>
      <c r="N15" s="130"/>
      <c r="O15" s="161" t="s">
        <v>668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373</v>
      </c>
      <c r="AH15" s="264" t="s">
        <v>499</v>
      </c>
      <c r="AI15" s="264" t="s">
        <v>557</v>
      </c>
      <c r="AJ15" s="264" t="s">
        <v>558</v>
      </c>
      <c r="AK15" s="264" t="s">
        <v>559</v>
      </c>
      <c r="AL15" s="264" t="s">
        <v>560</v>
      </c>
      <c r="AM15" s="264" t="s">
        <v>561</v>
      </c>
      <c r="AN15" s="264" t="s">
        <v>562</v>
      </c>
      <c r="AO15" s="264" t="s">
        <v>563</v>
      </c>
      <c r="AP15" s="264" t="s">
        <v>564</v>
      </c>
      <c r="AQ15" s="264" t="s">
        <v>565</v>
      </c>
      <c r="AR15" s="264" t="s">
        <v>566</v>
      </c>
      <c r="AS15" s="264" t="s">
        <v>567</v>
      </c>
      <c r="AT15" s="264" t="s">
        <v>568</v>
      </c>
      <c r="AU15" s="264" t="s">
        <v>569</v>
      </c>
      <c r="AV15" s="264" t="s">
        <v>570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525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531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526</v>
      </c>
      <c r="D20" s="180" t="s">
        <v>521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533</v>
      </c>
      <c r="D21" s="153" t="s">
        <v>523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545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668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510</v>
      </c>
      <c r="T23" s="297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528</v>
      </c>
      <c r="D24" s="188"/>
      <c r="E24" s="156" t="s">
        <v>667</v>
      </c>
      <c r="F24" s="156" t="s">
        <v>590</v>
      </c>
      <c r="G24" s="156"/>
      <c r="H24" s="156"/>
      <c r="I24" s="156"/>
      <c r="J24" s="156"/>
      <c r="K24" s="156"/>
      <c r="L24" s="156"/>
      <c r="M24" s="156"/>
      <c r="N24" s="156"/>
      <c r="O24" s="185" t="s">
        <v>529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522</v>
      </c>
      <c r="D25" s="188"/>
      <c r="E25" s="160">
        <v>130121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511</v>
      </c>
      <c r="F26" s="156" t="s">
        <v>511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511</v>
      </c>
      <c r="S26" s="67" t="s">
        <v>512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527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534</v>
      </c>
      <c r="D31" s="186" t="s">
        <v>256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541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456</v>
      </c>
      <c r="D34" s="153" t="s">
        <v>455</v>
      </c>
      <c r="E34" s="156" t="s">
        <v>519</v>
      </c>
      <c r="F34" s="156" t="s">
        <v>519</v>
      </c>
      <c r="G34" s="156" t="s">
        <v>519</v>
      </c>
      <c r="H34" s="156" t="s">
        <v>519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519</v>
      </c>
      <c r="S34" s="67" t="s">
        <v>520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614</v>
      </c>
      <c r="D35" s="153" t="s">
        <v>615</v>
      </c>
      <c r="E35" s="156" t="s">
        <v>613</v>
      </c>
      <c r="F35" s="156" t="s">
        <v>613</v>
      </c>
      <c r="G35" s="156" t="s">
        <v>613</v>
      </c>
      <c r="H35" s="156" t="s">
        <v>613</v>
      </c>
      <c r="I35" s="156" t="s">
        <v>613</v>
      </c>
      <c r="J35" s="156" t="s">
        <v>613</v>
      </c>
      <c r="K35" s="156" t="s">
        <v>613</v>
      </c>
      <c r="L35" s="156" t="s">
        <v>613</v>
      </c>
      <c r="M35" s="156" t="s">
        <v>613</v>
      </c>
      <c r="N35" s="156" t="s">
        <v>613</v>
      </c>
      <c r="O35" s="185" t="s">
        <v>143</v>
      </c>
      <c r="Q35" s="211"/>
      <c r="R35" s="67" t="s">
        <v>613</v>
      </c>
      <c r="S35" s="67" t="s">
        <v>616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448</v>
      </c>
      <c r="D36" s="119" t="s">
        <v>546</v>
      </c>
      <c r="E36" s="162" t="s">
        <v>457</v>
      </c>
      <c r="F36" s="162" t="s">
        <v>457</v>
      </c>
      <c r="G36" s="162" t="s">
        <v>458</v>
      </c>
      <c r="H36" s="162" t="s">
        <v>458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458</v>
      </c>
      <c r="S36" s="67" t="s">
        <v>457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272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539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540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537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543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544</v>
      </c>
      <c r="D46" s="201" t="s">
        <v>542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542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587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551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526</v>
      </c>
      <c r="D54" s="180" t="s">
        <v>521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533</v>
      </c>
      <c r="D55" s="153" t="s">
        <v>523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545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528</v>
      </c>
      <c r="D58" s="188"/>
      <c r="E58" s="156" t="str">
        <f>E24</f>
        <v>Ahlen/Westf.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529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522</v>
      </c>
      <c r="D59" s="188"/>
      <c r="E59" s="160">
        <f>E25</f>
        <v>130121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527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534</v>
      </c>
      <c r="D65" s="186" t="s">
        <v>256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541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146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143</v>
      </c>
    </row>
    <row r="68" spans="2:15">
      <c r="B68" s="183"/>
      <c r="C68" s="187" t="s">
        <v>456</v>
      </c>
      <c r="D68" s="153" t="s">
        <v>455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143</v>
      </c>
    </row>
    <row r="69" spans="2:15">
      <c r="B69" s="183"/>
      <c r="C69" s="187" t="s">
        <v>614</v>
      </c>
      <c r="D69" s="153" t="s">
        <v>615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143</v>
      </c>
    </row>
    <row r="70" spans="2:15">
      <c r="B70" s="183"/>
      <c r="C70" s="192" t="s">
        <v>448</v>
      </c>
      <c r="D70" s="119" t="s">
        <v>546</v>
      </c>
      <c r="E70" s="163" t="s">
        <v>458</v>
      </c>
      <c r="F70" s="163" t="s">
        <v>458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143</v>
      </c>
    </row>
    <row r="71" spans="2:15"/>
    <row r="72" spans="2:15" ht="15.75" customHeight="1">
      <c r="C72" s="344" t="s">
        <v>588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552</v>
      </c>
    </row>
    <row r="3" spans="1:56" ht="15" customHeight="1">
      <c r="B3" s="171"/>
    </row>
    <row r="4" spans="1:56">
      <c r="B4" s="130"/>
      <c r="C4" s="55" t="s">
        <v>450</v>
      </c>
      <c r="D4" s="56"/>
      <c r="E4" s="57" t="s">
        <v>492</v>
      </c>
      <c r="F4" s="130"/>
      <c r="M4" s="130"/>
      <c r="N4" s="130"/>
      <c r="O4" s="130"/>
    </row>
    <row r="5" spans="1:56">
      <c r="B5" s="130"/>
      <c r="C5" s="55" t="s">
        <v>449</v>
      </c>
      <c r="D5" s="56"/>
      <c r="E5" s="57" t="str">
        <f>Netzbetreiber!D28</f>
        <v>NCG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493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530</v>
      </c>
      <c r="D9" s="130"/>
      <c r="E9" s="130"/>
      <c r="F9" s="154">
        <f>'SLP-Verfahren'!D46</f>
        <v>1</v>
      </c>
      <c r="H9" s="172" t="s">
        <v>610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594</v>
      </c>
      <c r="D10" s="130"/>
      <c r="E10" s="130"/>
      <c r="F10" s="299">
        <v>2</v>
      </c>
      <c r="G10" s="56"/>
      <c r="H10" s="172" t="s">
        <v>611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612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593</v>
      </c>
      <c r="D13" s="342"/>
      <c r="E13" s="342"/>
      <c r="F13" s="183" t="s">
        <v>556</v>
      </c>
      <c r="G13" s="130" t="s">
        <v>554</v>
      </c>
      <c r="H13" s="265" t="s">
        <v>571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453</v>
      </c>
      <c r="D14" s="343"/>
      <c r="E14" s="89" t="s">
        <v>454</v>
      </c>
      <c r="F14" s="266" t="s">
        <v>86</v>
      </c>
      <c r="G14" s="267" t="s">
        <v>580</v>
      </c>
      <c r="H14" s="50">
        <v>0</v>
      </c>
      <c r="I14" s="56"/>
      <c r="J14" s="130"/>
      <c r="K14" s="130"/>
      <c r="L14" s="130"/>
      <c r="M14" s="130"/>
      <c r="N14" s="130"/>
      <c r="O14" s="173" t="s">
        <v>535</v>
      </c>
      <c r="R14" s="209" t="s">
        <v>572</v>
      </c>
      <c r="S14" s="209" t="s">
        <v>573</v>
      </c>
      <c r="T14" s="209" t="s">
        <v>574</v>
      </c>
      <c r="U14" s="209" t="s">
        <v>575</v>
      </c>
      <c r="V14" s="209" t="s">
        <v>555</v>
      </c>
      <c r="W14" s="209" t="s">
        <v>576</v>
      </c>
      <c r="X14" s="209" t="s">
        <v>577</v>
      </c>
      <c r="Y14" s="209" t="s">
        <v>578</v>
      </c>
      <c r="Z14" s="209" t="s">
        <v>579</v>
      </c>
      <c r="AA14" s="209" t="s">
        <v>580</v>
      </c>
      <c r="AB14" s="209" t="s">
        <v>581</v>
      </c>
      <c r="AC14" s="209" t="s">
        <v>582</v>
      </c>
    </row>
    <row r="15" spans="1:56" ht="19.5" customHeight="1">
      <c r="B15" s="130"/>
      <c r="C15" s="343" t="s">
        <v>390</v>
      </c>
      <c r="D15" s="343"/>
      <c r="E15" s="89" t="s">
        <v>454</v>
      </c>
      <c r="F15" s="266" t="s">
        <v>72</v>
      </c>
      <c r="G15" s="267" t="s">
        <v>574</v>
      </c>
      <c r="H15" s="50">
        <v>0</v>
      </c>
      <c r="I15" s="56"/>
      <c r="J15" s="130"/>
      <c r="K15" s="130"/>
      <c r="L15" s="130"/>
      <c r="M15" s="130"/>
      <c r="N15" s="130"/>
      <c r="O15" s="161" t="s">
        <v>536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373</v>
      </c>
      <c r="AH15" s="264" t="s">
        <v>499</v>
      </c>
      <c r="AI15" s="264" t="s">
        <v>557</v>
      </c>
      <c r="AJ15" s="264" t="s">
        <v>558</v>
      </c>
      <c r="AK15" s="264" t="s">
        <v>559</v>
      </c>
      <c r="AL15" s="264" t="s">
        <v>560</v>
      </c>
      <c r="AM15" s="264" t="s">
        <v>561</v>
      </c>
      <c r="AN15" s="264" t="s">
        <v>562</v>
      </c>
      <c r="AO15" s="264" t="s">
        <v>563</v>
      </c>
      <c r="AP15" s="264" t="s">
        <v>564</v>
      </c>
      <c r="AQ15" s="264" t="s">
        <v>565</v>
      </c>
      <c r="AR15" s="264" t="s">
        <v>566</v>
      </c>
      <c r="AS15" s="264" t="s">
        <v>567</v>
      </c>
      <c r="AT15" s="264" t="s">
        <v>568</v>
      </c>
      <c r="AU15" s="264" t="s">
        <v>569</v>
      </c>
      <c r="AV15" s="264" t="s">
        <v>570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525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531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526</v>
      </c>
      <c r="D20" s="180" t="s">
        <v>521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533</v>
      </c>
      <c r="D21" s="153" t="s">
        <v>523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545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510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528</v>
      </c>
      <c r="D24" s="188"/>
      <c r="E24" s="156" t="s">
        <v>589</v>
      </c>
      <c r="F24" s="156" t="s">
        <v>590</v>
      </c>
      <c r="G24" s="156"/>
      <c r="H24" s="156"/>
      <c r="I24" s="156"/>
      <c r="J24" s="156"/>
      <c r="K24" s="156"/>
      <c r="L24" s="156"/>
      <c r="M24" s="156"/>
      <c r="N24" s="156"/>
      <c r="O24" s="185" t="s">
        <v>529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522</v>
      </c>
      <c r="D25" s="188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511</v>
      </c>
      <c r="F26" s="156" t="s">
        <v>511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511</v>
      </c>
      <c r="S26" s="67" t="s">
        <v>512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527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534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541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3"/>
      <c r="C34" s="187" t="s">
        <v>456</v>
      </c>
      <c r="D34" s="153" t="s">
        <v>455</v>
      </c>
      <c r="E34" s="156" t="s">
        <v>519</v>
      </c>
      <c r="F34" s="156" t="s">
        <v>519</v>
      </c>
      <c r="G34" s="156" t="s">
        <v>519</v>
      </c>
      <c r="H34" s="156" t="s">
        <v>519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519</v>
      </c>
      <c r="S34" s="67" t="s">
        <v>520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614</v>
      </c>
      <c r="D35" s="153" t="s">
        <v>615</v>
      </c>
      <c r="E35" s="156" t="s">
        <v>613</v>
      </c>
      <c r="F35" s="156" t="s">
        <v>613</v>
      </c>
      <c r="G35" s="156" t="s">
        <v>613</v>
      </c>
      <c r="H35" s="156" t="s">
        <v>613</v>
      </c>
      <c r="I35" s="156" t="s">
        <v>613</v>
      </c>
      <c r="J35" s="156" t="s">
        <v>613</v>
      </c>
      <c r="K35" s="156" t="s">
        <v>613</v>
      </c>
      <c r="L35" s="156" t="s">
        <v>613</v>
      </c>
      <c r="M35" s="156" t="s">
        <v>613</v>
      </c>
      <c r="N35" s="156" t="s">
        <v>613</v>
      </c>
      <c r="O35" s="185" t="s">
        <v>143</v>
      </c>
      <c r="Q35" s="211"/>
      <c r="R35" s="67" t="s">
        <v>613</v>
      </c>
      <c r="S35" s="67" t="s">
        <v>616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448</v>
      </c>
      <c r="D36" s="119" t="s">
        <v>546</v>
      </c>
      <c r="E36" s="162" t="s">
        <v>457</v>
      </c>
      <c r="F36" s="162" t="s">
        <v>457</v>
      </c>
      <c r="G36" s="162" t="s">
        <v>458</v>
      </c>
      <c r="H36" s="162" t="s">
        <v>458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458</v>
      </c>
      <c r="S36" s="67" t="s">
        <v>457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272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539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540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537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543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544</v>
      </c>
      <c r="D46" s="201" t="s">
        <v>542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542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587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551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526</v>
      </c>
      <c r="D54" s="180" t="s">
        <v>521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533</v>
      </c>
      <c r="D55" s="153" t="s">
        <v>523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545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528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529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522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527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534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541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456</v>
      </c>
      <c r="D68" s="153" t="s">
        <v>455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614</v>
      </c>
      <c r="D69" s="153" t="s">
        <v>615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448</v>
      </c>
      <c r="D70" s="119" t="s">
        <v>546</v>
      </c>
      <c r="E70" s="163" t="s">
        <v>458</v>
      </c>
      <c r="F70" s="163" t="s">
        <v>458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44" t="s">
        <v>588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Y30" sqref="Y3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471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372</v>
      </c>
      <c r="D5" s="53" t="str">
        <f>Netzbetreiber!$D$9</f>
        <v>WEV Warendorfer Energieversorgung GmbH</v>
      </c>
      <c r="E5" s="130"/>
      <c r="H5" s="88" t="s">
        <v>503</v>
      </c>
      <c r="I5" s="131" t="s">
        <v>506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339</v>
      </c>
      <c r="D6" s="53" t="str">
        <f>Netzbetreiber!$D$28</f>
        <v>NCG L-Gas</v>
      </c>
      <c r="E6" s="130"/>
      <c r="F6" s="130"/>
      <c r="I6" s="131" t="s">
        <v>516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493</v>
      </c>
      <c r="D7" s="346">
        <f>Netzbetreiber!$D$11</f>
        <v>9870079100003</v>
      </c>
      <c r="E7" s="346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42278</v>
      </c>
      <c r="E8" s="130"/>
      <c r="F8" s="130"/>
      <c r="H8" s="128" t="s">
        <v>501</v>
      </c>
      <c r="J8" s="132">
        <f>COUNTA(D12:D100)</f>
        <v>29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500</v>
      </c>
      <c r="D10" s="134" t="s">
        <v>148</v>
      </c>
      <c r="E10" s="277" t="s">
        <v>518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644</v>
      </c>
      <c r="M10" s="150" t="s">
        <v>653</v>
      </c>
      <c r="N10" s="151" t="s">
        <v>654</v>
      </c>
      <c r="O10" s="151" t="s">
        <v>655</v>
      </c>
      <c r="P10" s="152" t="s">
        <v>656</v>
      </c>
      <c r="Q10" s="146" t="s">
        <v>645</v>
      </c>
      <c r="R10" s="136" t="s">
        <v>646</v>
      </c>
      <c r="S10" s="137" t="s">
        <v>647</v>
      </c>
      <c r="T10" s="137" t="s">
        <v>648</v>
      </c>
      <c r="U10" s="137" t="s">
        <v>649</v>
      </c>
      <c r="V10" s="137" t="s">
        <v>650</v>
      </c>
      <c r="W10" s="137" t="s">
        <v>651</v>
      </c>
      <c r="X10" s="138" t="s">
        <v>652</v>
      </c>
      <c r="Y10" s="305" t="s">
        <v>657</v>
      </c>
    </row>
    <row r="11" spans="2:26" ht="15.75" thickBot="1">
      <c r="B11" s="139" t="s">
        <v>502</v>
      </c>
      <c r="C11" s="140" t="s">
        <v>517</v>
      </c>
      <c r="D11" s="304" t="s">
        <v>249</v>
      </c>
      <c r="E11" s="164" t="s">
        <v>524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NCG L-Gas</v>
      </c>
      <c r="D12" s="62" t="s">
        <v>249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40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NCG L-Gas</v>
      </c>
      <c r="D13" s="62" t="s">
        <v>249</v>
      </c>
      <c r="E13" s="165" t="s">
        <v>670</v>
      </c>
      <c r="F13" s="307" t="str">
        <f>VLOOKUP($E13,'BDEW-Standard'!$B$3:$M$94,F$9,0)</f>
        <v>D14</v>
      </c>
      <c r="H13" s="278">
        <f>ROUND(VLOOKUP($E13,'BDEW-Standard'!$B$3:$M$94,H$9,0),7)</f>
        <v>3.1850190999999999</v>
      </c>
      <c r="I13" s="278">
        <f>ROUND(VLOOKUP($E13,'BDEW-Standard'!$B$3:$M$94,I$9,0),7)</f>
        <v>-37.412415500000002</v>
      </c>
      <c r="J13" s="278">
        <f>ROUND(VLOOKUP($E13,'BDEW-Standard'!$B$3:$M$94,J$9,0),7)</f>
        <v>6.1723179000000004</v>
      </c>
      <c r="K13" s="278">
        <f>ROUND(VLOOKUP($E13,'BDEW-Standard'!$B$3:$M$94,K$9,0),7)</f>
        <v>7.6109599999999999E-2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0.95508749343949439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NCG L-Gas</v>
      </c>
      <c r="D14" s="62" t="s">
        <v>249</v>
      </c>
      <c r="E14" s="165" t="s">
        <v>5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NCG L-Gas</v>
      </c>
      <c r="D15" s="62" t="s">
        <v>249</v>
      </c>
      <c r="E15" s="165" t="s">
        <v>671</v>
      </c>
      <c r="F15" s="307" t="str">
        <f>VLOOKUP($E15,'BDEW-Standard'!$B$3:$M$94,F$9,0)</f>
        <v>MK3</v>
      </c>
      <c r="H15" s="278">
        <f>ROUND(VLOOKUP($E15,'BDEW-Standard'!$B$3:$M$94,H$9,0),7)</f>
        <v>2.7882424000000001</v>
      </c>
      <c r="I15" s="278">
        <f>ROUND(VLOOKUP($E15,'BDEW-Standard'!$B$3:$M$94,I$9,0),7)</f>
        <v>-34.880612999999997</v>
      </c>
      <c r="J15" s="278">
        <f>ROUND(VLOOKUP($E15,'BDEW-Standard'!$B$3:$M$94,J$9,0),7)</f>
        <v>6.5951899000000003</v>
      </c>
      <c r="K15" s="278">
        <f>ROUND(VLOOKUP($E15,'BDEW-Standard'!$B$3:$M$94,K$9,0),7)</f>
        <v>5.4032900000000002E-2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1.0622306107520199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NCG L-Gas</v>
      </c>
      <c r="D16" s="62" t="s">
        <v>249</v>
      </c>
      <c r="E16" s="165" t="s">
        <v>672</v>
      </c>
      <c r="F16" s="307" t="str">
        <f>VLOOKUP($E16,'BDEW-Standard'!$B$3:$M$94,F$9,0)</f>
        <v>MK4</v>
      </c>
      <c r="H16" s="278">
        <f>ROUND(VLOOKUP($E16,'BDEW-Standard'!$B$3:$M$94,H$9,0),7)</f>
        <v>3.1177248</v>
      </c>
      <c r="I16" s="278">
        <f>ROUND(VLOOKUP($E16,'BDEW-Standard'!$B$3:$M$94,I$9,0),7)</f>
        <v>-35.871506199999999</v>
      </c>
      <c r="J16" s="278">
        <f>ROUND(VLOOKUP($E16,'BDEW-Standard'!$B$3:$M$94,J$9,0),7)</f>
        <v>7.5186828999999999</v>
      </c>
      <c r="K16" s="278">
        <f>ROUND(VLOOKUP($E16,'BDEW-Standard'!$B$3:$M$94,K$9,0),7)</f>
        <v>3.4330100000000002E-2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0.9622064996731321</v>
      </c>
      <c r="R16" s="281">
        <f>ROUND(VLOOKUP(MID($E16,4,3),'Wochentag F(WT)'!$B$7:$J$22,R$9,0),4)</f>
        <v>1.0699000000000001</v>
      </c>
      <c r="S16" s="281">
        <f>ROUND(VLOOKUP(MID($E16,4,3),'Wochentag F(WT)'!$B$7:$J$22,S$9,0),4)</f>
        <v>1.0365</v>
      </c>
      <c r="T16" s="281">
        <f>ROUND(VLOOKUP(MID($E16,4,3),'Wochentag F(WT)'!$B$7:$J$22,T$9,0),4)</f>
        <v>0.99329999999999996</v>
      </c>
      <c r="U16" s="281">
        <f>ROUND(VLOOKUP(MID($E16,4,3),'Wochentag F(WT)'!$B$7:$J$22,U$9,0),4)</f>
        <v>0.99480000000000002</v>
      </c>
      <c r="V16" s="281">
        <f>ROUND(VLOOKUP(MID($E16,4,3),'Wochentag F(WT)'!$B$7:$J$22,V$9,0),4)</f>
        <v>1.0659000000000001</v>
      </c>
      <c r="W16" s="281">
        <f>ROUND(VLOOKUP(MID($E16,4,3),'Wochentag F(WT)'!$B$7:$J$22,W$9,0),4)</f>
        <v>0.93620000000000003</v>
      </c>
      <c r="X16" s="282">
        <f t="shared" si="2"/>
        <v>0.90339999999999954</v>
      </c>
      <c r="Y16" s="303"/>
      <c r="Z16" s="212"/>
    </row>
    <row r="17" spans="2:26" s="143" customFormat="1">
      <c r="B17" s="144">
        <v>6</v>
      </c>
      <c r="C17" s="145" t="str">
        <f t="shared" si="0"/>
        <v>NCG L-Gas</v>
      </c>
      <c r="D17" s="62" t="s">
        <v>249</v>
      </c>
      <c r="E17" s="165" t="s">
        <v>673</v>
      </c>
      <c r="F17" s="307" t="str">
        <f>VLOOKUP($E17,'BDEW-Standard'!$B$3:$M$94,F$9,0)</f>
        <v>HA3</v>
      </c>
      <c r="H17" s="278">
        <f>ROUND(VLOOKUP($E17,'BDEW-Standard'!$B$3:$M$94,H$9,0),7)</f>
        <v>3.5811213999999998</v>
      </c>
      <c r="I17" s="278">
        <f>ROUND(VLOOKUP($E17,'BDEW-Standard'!$B$3:$M$94,I$9,0),7)</f>
        <v>-36.965006500000001</v>
      </c>
      <c r="J17" s="278">
        <f>ROUND(VLOOKUP($E17,'BDEW-Standard'!$B$3:$M$94,J$9,0),7)</f>
        <v>7.2256947</v>
      </c>
      <c r="K17" s="278">
        <f>ROUND(VLOOKUP($E17,'BDEW-Standard'!$B$3:$M$94,K$9,0),7)</f>
        <v>4.4841600000000002E-2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0.97852945357176691</v>
      </c>
      <c r="R17" s="281">
        <f>ROUND(VLOOKUP(MID($E17,4,3),'Wochentag F(WT)'!$B$7:$J$22,R$9,0),4)</f>
        <v>1.0358000000000001</v>
      </c>
      <c r="S17" s="281">
        <f>ROUND(VLOOKUP(MID($E17,4,3),'Wochentag F(WT)'!$B$7:$J$22,S$9,0),4)</f>
        <v>1.0232000000000001</v>
      </c>
      <c r="T17" s="281">
        <f>ROUND(VLOOKUP(MID($E17,4,3),'Wochentag F(WT)'!$B$7:$J$22,T$9,0),4)</f>
        <v>1.0251999999999999</v>
      </c>
      <c r="U17" s="281">
        <f>ROUND(VLOOKUP(MID($E17,4,3),'Wochentag F(WT)'!$B$7:$J$22,U$9,0),4)</f>
        <v>1.0295000000000001</v>
      </c>
      <c r="V17" s="281">
        <f>ROUND(VLOOKUP(MID($E17,4,3),'Wochentag F(WT)'!$B$7:$J$22,V$9,0),4)</f>
        <v>1.0253000000000001</v>
      </c>
      <c r="W17" s="281">
        <f>ROUND(VLOOKUP(MID($E17,4,3),'Wochentag F(WT)'!$B$7:$J$22,W$9,0),4)</f>
        <v>0.96750000000000003</v>
      </c>
      <c r="X17" s="282">
        <f t="shared" si="2"/>
        <v>0.89350000000000041</v>
      </c>
      <c r="Y17" s="303"/>
      <c r="Z17" s="212"/>
    </row>
    <row r="18" spans="2:26" s="143" customFormat="1">
      <c r="B18" s="144">
        <v>7</v>
      </c>
      <c r="C18" s="145" t="str">
        <f t="shared" si="0"/>
        <v>NCG L-Gas</v>
      </c>
      <c r="D18" s="62" t="s">
        <v>249</v>
      </c>
      <c r="E18" s="165" t="s">
        <v>674</v>
      </c>
      <c r="F18" s="307" t="str">
        <f>VLOOKUP($E18,'BDEW-Standard'!$B$3:$M$94,F$9,0)</f>
        <v>HA4</v>
      </c>
      <c r="H18" s="278">
        <f>ROUND(VLOOKUP($E18,'BDEW-Standard'!$B$3:$M$94,H$9,0),7)</f>
        <v>4.0196902000000003</v>
      </c>
      <c r="I18" s="278">
        <f>ROUND(VLOOKUP($E18,'BDEW-Standard'!$B$3:$M$94,I$9,0),7)</f>
        <v>-37.828203700000003</v>
      </c>
      <c r="J18" s="278">
        <f>ROUND(VLOOKUP($E18,'BDEW-Standard'!$B$3:$M$94,J$9,0),7)</f>
        <v>8.1593368999999996</v>
      </c>
      <c r="K18" s="278">
        <f>ROUND(VLOOKUP($E18,'BDEW-Standard'!$B$3:$M$94,K$9,0),7)</f>
        <v>4.72845E-2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0.86486713303260787</v>
      </c>
      <c r="R18" s="281">
        <f>ROUND(VLOOKUP(MID($E18,4,3),'Wochentag F(WT)'!$B$7:$J$22,R$9,0),4)</f>
        <v>1.0358000000000001</v>
      </c>
      <c r="S18" s="281">
        <f>ROUND(VLOOKUP(MID($E18,4,3),'Wochentag F(WT)'!$B$7:$J$22,S$9,0),4)</f>
        <v>1.0232000000000001</v>
      </c>
      <c r="T18" s="281">
        <f>ROUND(VLOOKUP(MID($E18,4,3),'Wochentag F(WT)'!$B$7:$J$22,T$9,0),4)</f>
        <v>1.0251999999999999</v>
      </c>
      <c r="U18" s="281">
        <f>ROUND(VLOOKUP(MID($E18,4,3),'Wochentag F(WT)'!$B$7:$J$22,U$9,0),4)</f>
        <v>1.0295000000000001</v>
      </c>
      <c r="V18" s="281">
        <f>ROUND(VLOOKUP(MID($E18,4,3),'Wochentag F(WT)'!$B$7:$J$22,V$9,0),4)</f>
        <v>1.0253000000000001</v>
      </c>
      <c r="W18" s="281">
        <f>ROUND(VLOOKUP(MID($E18,4,3),'Wochentag F(WT)'!$B$7:$J$22,W$9,0),4)</f>
        <v>0.96750000000000003</v>
      </c>
      <c r="X18" s="282">
        <f t="shared" si="2"/>
        <v>0.89350000000000041</v>
      </c>
      <c r="Y18" s="303"/>
      <c r="Z18" s="212"/>
    </row>
    <row r="19" spans="2:26" s="143" customFormat="1">
      <c r="B19" s="144">
        <v>8</v>
      </c>
      <c r="C19" s="145" t="str">
        <f t="shared" si="0"/>
        <v>NCG L-Gas</v>
      </c>
      <c r="D19" s="62" t="s">
        <v>249</v>
      </c>
      <c r="E19" s="165" t="s">
        <v>675</v>
      </c>
      <c r="F19" s="307" t="str">
        <f>VLOOKUP($E19,'BDEW-Standard'!$B$3:$M$94,F$9,0)</f>
        <v>KO3</v>
      </c>
      <c r="H19" s="278">
        <f>ROUND(VLOOKUP($E19,'BDEW-Standard'!$B$3:$M$94,H$9,0),7)</f>
        <v>2.7172288</v>
      </c>
      <c r="I19" s="278">
        <f>ROUND(VLOOKUP($E19,'BDEW-Standard'!$B$3:$M$94,I$9,0),7)</f>
        <v>-35.141256300000002</v>
      </c>
      <c r="J19" s="278">
        <f>ROUND(VLOOKUP($E19,'BDEW-Standard'!$B$3:$M$94,J$9,0),7)</f>
        <v>7.1303394999999998</v>
      </c>
      <c r="K19" s="278">
        <f>ROUND(VLOOKUP($E19,'BDEW-Standard'!$B$3:$M$94,K$9,0),7)</f>
        <v>0.14184720000000001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1.0630299199876638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3" customFormat="1">
      <c r="B20" s="144">
        <v>9</v>
      </c>
      <c r="C20" s="145" t="str">
        <f t="shared" si="0"/>
        <v>NCG L-Gas</v>
      </c>
      <c r="D20" s="62" t="s">
        <v>249</v>
      </c>
      <c r="E20" s="165" t="s">
        <v>676</v>
      </c>
      <c r="F20" s="307" t="str">
        <f>VLOOKUP($E20,'BDEW-Standard'!$B$3:$M$94,F$9,0)</f>
        <v>KO4</v>
      </c>
      <c r="H20" s="278">
        <f>ROUND(VLOOKUP($E20,'BDEW-Standard'!$B$3:$M$94,H$9,0),7)</f>
        <v>3.4428942999999999</v>
      </c>
      <c r="I20" s="278">
        <f>ROUND(VLOOKUP($E20,'BDEW-Standard'!$B$3:$M$94,I$9,0),7)</f>
        <v>-36.659050399999998</v>
      </c>
      <c r="J20" s="278">
        <f>ROUND(VLOOKUP($E20,'BDEW-Standard'!$B$3:$M$94,J$9,0),7)</f>
        <v>7.6083226000000002</v>
      </c>
      <c r="K20" s="278">
        <f>ROUND(VLOOKUP($E20,'BDEW-Standard'!$B$3:$M$94,K$9,0),7)</f>
        <v>7.4685000000000001E-2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0.97768382110526542</v>
      </c>
      <c r="R20" s="281">
        <f>ROUND(VLOOKUP(MID($E20,4,3),'Wochentag F(WT)'!$B$7:$J$22,R$9,0),4)</f>
        <v>1.0354000000000001</v>
      </c>
      <c r="S20" s="281">
        <f>ROUND(VLOOKUP(MID($E20,4,3),'Wochentag F(WT)'!$B$7:$J$22,S$9,0),4)</f>
        <v>1.0523</v>
      </c>
      <c r="T20" s="281">
        <f>ROUND(VLOOKUP(MID($E20,4,3),'Wochentag F(WT)'!$B$7:$J$22,T$9,0),4)</f>
        <v>1.0448999999999999</v>
      </c>
      <c r="U20" s="281">
        <f>ROUND(VLOOKUP(MID($E20,4,3),'Wochentag F(WT)'!$B$7:$J$22,U$9,0),4)</f>
        <v>1.0494000000000001</v>
      </c>
      <c r="V20" s="281">
        <f>ROUND(VLOOKUP(MID($E20,4,3),'Wochentag F(WT)'!$B$7:$J$22,V$9,0),4)</f>
        <v>0.98850000000000005</v>
      </c>
      <c r="W20" s="281">
        <f>ROUND(VLOOKUP(MID($E20,4,3),'Wochentag F(WT)'!$B$7:$J$22,W$9,0),4)</f>
        <v>0.88600000000000001</v>
      </c>
      <c r="X20" s="282">
        <f t="shared" si="2"/>
        <v>0.94349999999999934</v>
      </c>
      <c r="Y20" s="303"/>
      <c r="Z20" s="212"/>
    </row>
    <row r="21" spans="2:26" s="143" customFormat="1">
      <c r="B21" s="144">
        <v>10</v>
      </c>
      <c r="C21" s="145" t="str">
        <f t="shared" si="0"/>
        <v>NCG L-Gas</v>
      </c>
      <c r="D21" s="62" t="s">
        <v>249</v>
      </c>
      <c r="E21" s="165" t="s">
        <v>677</v>
      </c>
      <c r="F21" s="307" t="str">
        <f>VLOOKUP($E21,'BDEW-Standard'!$B$3:$M$94,F$9,0)</f>
        <v>BD3</v>
      </c>
      <c r="H21" s="278">
        <f>ROUND(VLOOKUP($E21,'BDEW-Standard'!$B$3:$M$94,H$9,0),7)</f>
        <v>2.9177027</v>
      </c>
      <c r="I21" s="278">
        <f>ROUND(VLOOKUP($E21,'BDEW-Standard'!$B$3:$M$94,I$9,0),7)</f>
        <v>-36.179411700000003</v>
      </c>
      <c r="J21" s="278">
        <f>ROUND(VLOOKUP($E21,'BDEW-Standard'!$B$3:$M$94,J$9,0),7)</f>
        <v>5.9265162</v>
      </c>
      <c r="K21" s="278">
        <f>ROUND(VLOOKUP($E21,'BDEW-Standard'!$B$3:$M$94,K$9,0),7)</f>
        <v>0.11519119999999999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1.0656106174494469</v>
      </c>
      <c r="R21" s="281">
        <f>ROUND(VLOOKUP(MID($E21,4,3),'Wochentag F(WT)'!$B$7:$J$22,R$9,0),4)</f>
        <v>1.1052</v>
      </c>
      <c r="S21" s="281">
        <f>ROUND(VLOOKUP(MID($E21,4,3),'Wochentag F(WT)'!$B$7:$J$22,S$9,0),4)</f>
        <v>1.0857000000000001</v>
      </c>
      <c r="T21" s="281">
        <f>ROUND(VLOOKUP(MID($E21,4,3),'Wochentag F(WT)'!$B$7:$J$22,T$9,0),4)</f>
        <v>1.0378000000000001</v>
      </c>
      <c r="U21" s="281">
        <f>ROUND(VLOOKUP(MID($E21,4,3),'Wochentag F(WT)'!$B$7:$J$22,U$9,0),4)</f>
        <v>1.0622</v>
      </c>
      <c r="V21" s="281">
        <f>ROUND(VLOOKUP(MID($E21,4,3),'Wochentag F(WT)'!$B$7:$J$22,V$9,0),4)</f>
        <v>1.0266</v>
      </c>
      <c r="W21" s="281">
        <f>ROUND(VLOOKUP(MID($E21,4,3),'Wochentag F(WT)'!$B$7:$J$22,W$9,0),4)</f>
        <v>0.76290000000000002</v>
      </c>
      <c r="X21" s="282">
        <f t="shared" si="2"/>
        <v>0.91959999999999997</v>
      </c>
      <c r="Y21" s="303"/>
      <c r="Z21" s="212"/>
    </row>
    <row r="22" spans="2:26" s="143" customFormat="1">
      <c r="B22" s="144">
        <v>11</v>
      </c>
      <c r="C22" s="145" t="str">
        <f t="shared" si="0"/>
        <v>NCG L-Gas</v>
      </c>
      <c r="D22" s="62" t="s">
        <v>249</v>
      </c>
      <c r="E22" s="165" t="s">
        <v>678</v>
      </c>
      <c r="F22" s="307" t="str">
        <f>VLOOKUP($E22,'BDEW-Standard'!$B$3:$M$94,F$9,0)</f>
        <v>BD4</v>
      </c>
      <c r="H22" s="278">
        <f>ROUND(VLOOKUP($E22,'BDEW-Standard'!$B$3:$M$94,H$9,0),7)</f>
        <v>3.75</v>
      </c>
      <c r="I22" s="278">
        <f>ROUND(VLOOKUP($E22,'BDEW-Standard'!$B$3:$M$94,I$9,0),7)</f>
        <v>-37.5</v>
      </c>
      <c r="J22" s="278">
        <f>ROUND(VLOOKUP($E22,'BDEW-Standard'!$B$3:$M$94,J$9,0),7)</f>
        <v>6.8</v>
      </c>
      <c r="K22" s="278">
        <f>ROUND(VLOOKUP($E22,'BDEW-Standard'!$B$3:$M$94,K$9,0),7)</f>
        <v>6.0911300000000002E-2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1.0126136468627658</v>
      </c>
      <c r="R22" s="281">
        <f>ROUND(VLOOKUP(MID($E22,4,3),'Wochentag F(WT)'!$B$7:$J$22,R$9,0),4)</f>
        <v>1.1052</v>
      </c>
      <c r="S22" s="281">
        <f>ROUND(VLOOKUP(MID($E22,4,3),'Wochentag F(WT)'!$B$7:$J$22,S$9,0),4)</f>
        <v>1.0857000000000001</v>
      </c>
      <c r="T22" s="281">
        <f>ROUND(VLOOKUP(MID($E22,4,3),'Wochentag F(WT)'!$B$7:$J$22,T$9,0),4)</f>
        <v>1.0378000000000001</v>
      </c>
      <c r="U22" s="281">
        <f>ROUND(VLOOKUP(MID($E22,4,3),'Wochentag F(WT)'!$B$7:$J$22,U$9,0),4)</f>
        <v>1.0622</v>
      </c>
      <c r="V22" s="281">
        <f>ROUND(VLOOKUP(MID($E22,4,3),'Wochentag F(WT)'!$B$7:$J$22,V$9,0),4)</f>
        <v>1.0266</v>
      </c>
      <c r="W22" s="281">
        <f>ROUND(VLOOKUP(MID($E22,4,3),'Wochentag F(WT)'!$B$7:$J$22,W$9,0),4)</f>
        <v>0.76290000000000002</v>
      </c>
      <c r="X22" s="282">
        <f t="shared" si="2"/>
        <v>0.91959999999999997</v>
      </c>
      <c r="Y22" s="303"/>
      <c r="Z22" s="212"/>
    </row>
    <row r="23" spans="2:26" s="143" customFormat="1">
      <c r="B23" s="144">
        <v>12</v>
      </c>
      <c r="C23" s="145" t="str">
        <f t="shared" si="0"/>
        <v>NCG L-Gas</v>
      </c>
      <c r="D23" s="62" t="s">
        <v>249</v>
      </c>
      <c r="E23" s="165" t="s">
        <v>679</v>
      </c>
      <c r="F23" s="307" t="str">
        <f>VLOOKUP($E23,'BDEW-Standard'!$B$3:$M$94,F$9,0)</f>
        <v>GA3</v>
      </c>
      <c r="H23" s="278">
        <f>ROUND(VLOOKUP($E23,'BDEW-Standard'!$B$3:$M$94,H$9,0),7)</f>
        <v>2.2850164999999998</v>
      </c>
      <c r="I23" s="278">
        <f>ROUND(VLOOKUP($E23,'BDEW-Standard'!$B$3:$M$94,I$9,0),7)</f>
        <v>-36.287858399999998</v>
      </c>
      <c r="J23" s="278">
        <f>ROUND(VLOOKUP($E23,'BDEW-Standard'!$B$3:$M$94,J$9,0),7)</f>
        <v>6.5885125999999996</v>
      </c>
      <c r="K23" s="278">
        <f>ROUND(VLOOKUP($E23,'BDEW-Standard'!$B$3:$M$94,K$9,0),7)</f>
        <v>0.31505349999999999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1.0096183914256316</v>
      </c>
      <c r="R23" s="281">
        <f>ROUND(VLOOKUP(MID($E23,4,3),'Wochentag F(WT)'!$B$7:$J$22,R$9,0),4)</f>
        <v>0.93220000000000003</v>
      </c>
      <c r="S23" s="281">
        <f>ROUND(VLOOKUP(MID($E23,4,3),'Wochentag F(WT)'!$B$7:$J$22,S$9,0),4)</f>
        <v>0.98939999999999995</v>
      </c>
      <c r="T23" s="281">
        <f>ROUND(VLOOKUP(MID($E23,4,3),'Wochentag F(WT)'!$B$7:$J$22,T$9,0),4)</f>
        <v>1.0033000000000001</v>
      </c>
      <c r="U23" s="281">
        <f>ROUND(VLOOKUP(MID($E23,4,3),'Wochentag F(WT)'!$B$7:$J$22,U$9,0),4)</f>
        <v>1.0108999999999999</v>
      </c>
      <c r="V23" s="281">
        <f>ROUND(VLOOKUP(MID($E23,4,3),'Wochentag F(WT)'!$B$7:$J$22,V$9,0),4)</f>
        <v>1.018</v>
      </c>
      <c r="W23" s="281">
        <f>ROUND(VLOOKUP(MID($E23,4,3),'Wochentag F(WT)'!$B$7:$J$22,W$9,0),4)</f>
        <v>1.0356000000000001</v>
      </c>
      <c r="X23" s="282">
        <f t="shared" si="2"/>
        <v>1.0106000000000002</v>
      </c>
      <c r="Y23" s="303"/>
      <c r="Z23" s="212"/>
    </row>
    <row r="24" spans="2:26" s="143" customFormat="1">
      <c r="B24" s="144">
        <v>13</v>
      </c>
      <c r="C24" s="145" t="str">
        <f t="shared" si="0"/>
        <v>NCG L-Gas</v>
      </c>
      <c r="D24" s="62" t="s">
        <v>249</v>
      </c>
      <c r="E24" s="165" t="s">
        <v>680</v>
      </c>
      <c r="F24" s="307" t="str">
        <f>VLOOKUP($E24,'BDEW-Standard'!$B$3:$M$94,F$9,0)</f>
        <v>GA4</v>
      </c>
      <c r="H24" s="278">
        <f>ROUND(VLOOKUP($E24,'BDEW-Standard'!$B$3:$M$94,H$9,0),7)</f>
        <v>2.8195655999999998</v>
      </c>
      <c r="I24" s="278">
        <f>ROUND(VLOOKUP($E24,'BDEW-Standard'!$B$3:$M$94,I$9,0),7)</f>
        <v>-36</v>
      </c>
      <c r="J24" s="278">
        <f>ROUND(VLOOKUP($E24,'BDEW-Standard'!$B$3:$M$94,J$9,0),7)</f>
        <v>7.7368518000000002</v>
      </c>
      <c r="K24" s="278">
        <f>ROUND(VLOOKUP($E24,'BDEW-Standard'!$B$3:$M$94,K$9,0),7)</f>
        <v>0.157281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0.96576337685759206</v>
      </c>
      <c r="R24" s="281">
        <f>ROUND(VLOOKUP(MID($E24,4,3),'Wochentag F(WT)'!$B$7:$J$22,R$9,0),4)</f>
        <v>0.93220000000000003</v>
      </c>
      <c r="S24" s="281">
        <f>ROUND(VLOOKUP(MID($E24,4,3),'Wochentag F(WT)'!$B$7:$J$22,S$9,0),4)</f>
        <v>0.98939999999999995</v>
      </c>
      <c r="T24" s="281">
        <f>ROUND(VLOOKUP(MID($E24,4,3),'Wochentag F(WT)'!$B$7:$J$22,T$9,0),4)</f>
        <v>1.0033000000000001</v>
      </c>
      <c r="U24" s="281">
        <f>ROUND(VLOOKUP(MID($E24,4,3),'Wochentag F(WT)'!$B$7:$J$22,U$9,0),4)</f>
        <v>1.0108999999999999</v>
      </c>
      <c r="V24" s="281">
        <f>ROUND(VLOOKUP(MID($E24,4,3),'Wochentag F(WT)'!$B$7:$J$22,V$9,0),4)</f>
        <v>1.018</v>
      </c>
      <c r="W24" s="281">
        <f>ROUND(VLOOKUP(MID($E24,4,3),'Wochentag F(WT)'!$B$7:$J$22,W$9,0),4)</f>
        <v>1.0356000000000001</v>
      </c>
      <c r="X24" s="282">
        <f t="shared" si="2"/>
        <v>1.0106000000000002</v>
      </c>
      <c r="Y24" s="303"/>
      <c r="Z24" s="212"/>
    </row>
    <row r="25" spans="2:26" s="143" customFormat="1">
      <c r="B25" s="144">
        <v>14</v>
      </c>
      <c r="C25" s="145" t="str">
        <f t="shared" si="0"/>
        <v>NCG L-Gas</v>
      </c>
      <c r="D25" s="62" t="s">
        <v>249</v>
      </c>
      <c r="E25" s="165" t="s">
        <v>681</v>
      </c>
      <c r="F25" s="307" t="str">
        <f>VLOOKUP($E25,'BDEW-Standard'!$B$3:$M$94,F$9,0)</f>
        <v>BH3</v>
      </c>
      <c r="H25" s="278">
        <f>ROUND(VLOOKUP($E25,'BDEW-Standard'!$B$3:$M$94,H$9,0),7)</f>
        <v>2.0102471999999998</v>
      </c>
      <c r="I25" s="278">
        <f>ROUND(VLOOKUP($E25,'BDEW-Standard'!$B$3:$M$94,I$9,0),7)</f>
        <v>-35.253212400000002</v>
      </c>
      <c r="J25" s="278">
        <f>ROUND(VLOOKUP($E25,'BDEW-Standard'!$B$3:$M$94,J$9,0),7)</f>
        <v>6.1544406</v>
      </c>
      <c r="K25" s="278">
        <f>ROUND(VLOOKUP($E25,'BDEW-Standard'!$B$3:$M$94,K$9,0),7)</f>
        <v>0.32947409999999999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1.0436896084076008</v>
      </c>
      <c r="R25" s="281">
        <f>ROUND(VLOOKUP(MID($E25,4,3),'Wochentag F(WT)'!$B$7:$J$22,R$9,0),4)</f>
        <v>0.97670000000000001</v>
      </c>
      <c r="S25" s="281">
        <f>ROUND(VLOOKUP(MID($E25,4,3),'Wochentag F(WT)'!$B$7:$J$22,S$9,0),4)</f>
        <v>1.0388999999999999</v>
      </c>
      <c r="T25" s="281">
        <f>ROUND(VLOOKUP(MID($E25,4,3),'Wochentag F(WT)'!$B$7:$J$22,T$9,0),4)</f>
        <v>1.0027999999999999</v>
      </c>
      <c r="U25" s="281">
        <f>ROUND(VLOOKUP(MID($E25,4,3),'Wochentag F(WT)'!$B$7:$J$22,U$9,0),4)</f>
        <v>1.0162</v>
      </c>
      <c r="V25" s="281">
        <f>ROUND(VLOOKUP(MID($E25,4,3),'Wochentag F(WT)'!$B$7:$J$22,V$9,0),4)</f>
        <v>1.0024</v>
      </c>
      <c r="W25" s="281">
        <f>ROUND(VLOOKUP(MID($E25,4,3),'Wochentag F(WT)'!$B$7:$J$22,W$9,0),4)</f>
        <v>1.0043</v>
      </c>
      <c r="X25" s="282">
        <f t="shared" si="2"/>
        <v>0.95870000000000122</v>
      </c>
      <c r="Y25" s="303"/>
      <c r="Z25" s="212"/>
    </row>
    <row r="26" spans="2:26" s="143" customFormat="1">
      <c r="B26" s="144">
        <v>15</v>
      </c>
      <c r="C26" s="145" t="str">
        <f t="shared" si="0"/>
        <v>NCG L-Gas</v>
      </c>
      <c r="D26" s="62" t="s">
        <v>249</v>
      </c>
      <c r="E26" s="165" t="s">
        <v>682</v>
      </c>
      <c r="F26" s="307" t="str">
        <f>VLOOKUP($E26,'BDEW-Standard'!$B$3:$M$94,F$9,0)</f>
        <v>BH4</v>
      </c>
      <c r="H26" s="278">
        <f>ROUND(VLOOKUP($E26,'BDEW-Standard'!$B$3:$M$94,H$9,0),7)</f>
        <v>2.4595180999999999</v>
      </c>
      <c r="I26" s="278">
        <f>ROUND(VLOOKUP($E26,'BDEW-Standard'!$B$3:$M$94,I$9,0),7)</f>
        <v>-35.253212400000002</v>
      </c>
      <c r="J26" s="278">
        <f>ROUND(VLOOKUP($E26,'BDEW-Standard'!$B$3:$M$94,J$9,0),7)</f>
        <v>6.0587001000000003</v>
      </c>
      <c r="K26" s="278">
        <f>ROUND(VLOOKUP($E26,'BDEW-Standard'!$B$3:$M$94,K$9,0),7)</f>
        <v>0.16473699999999999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1.043802057143173</v>
      </c>
      <c r="R26" s="281">
        <f>ROUND(VLOOKUP(MID($E26,4,3),'Wochentag F(WT)'!$B$7:$J$22,R$9,0),4)</f>
        <v>0.97670000000000001</v>
      </c>
      <c r="S26" s="281">
        <f>ROUND(VLOOKUP(MID($E26,4,3),'Wochentag F(WT)'!$B$7:$J$22,S$9,0),4)</f>
        <v>1.0388999999999999</v>
      </c>
      <c r="T26" s="281">
        <f>ROUND(VLOOKUP(MID($E26,4,3),'Wochentag F(WT)'!$B$7:$J$22,T$9,0),4)</f>
        <v>1.0027999999999999</v>
      </c>
      <c r="U26" s="281">
        <f>ROUND(VLOOKUP(MID($E26,4,3),'Wochentag F(WT)'!$B$7:$J$22,U$9,0),4)</f>
        <v>1.0162</v>
      </c>
      <c r="V26" s="281">
        <f>ROUND(VLOOKUP(MID($E26,4,3),'Wochentag F(WT)'!$B$7:$J$22,V$9,0),4)</f>
        <v>1.0024</v>
      </c>
      <c r="W26" s="281">
        <f>ROUND(VLOOKUP(MID($E26,4,3),'Wochentag F(WT)'!$B$7:$J$22,W$9,0),4)</f>
        <v>1.0043</v>
      </c>
      <c r="X26" s="282">
        <f t="shared" si="2"/>
        <v>0.95870000000000122</v>
      </c>
      <c r="Y26" s="303"/>
      <c r="Z26" s="212"/>
    </row>
    <row r="27" spans="2:26" s="143" customFormat="1">
      <c r="B27" s="144">
        <v>16</v>
      </c>
      <c r="C27" s="145" t="str">
        <f t="shared" si="0"/>
        <v>NCG L-Gas</v>
      </c>
      <c r="D27" s="62" t="s">
        <v>249</v>
      </c>
      <c r="E27" s="166" t="s">
        <v>683</v>
      </c>
      <c r="F27" s="307" t="str">
        <f>VLOOKUP($E27,'BDEW-Standard'!$B$3:$M$94,F$9,0)</f>
        <v>WA3</v>
      </c>
      <c r="H27" s="278">
        <f>ROUND(VLOOKUP($E27,'BDEW-Standard'!$B$3:$M$94,H$9,0),7)</f>
        <v>0.76572899999999999</v>
      </c>
      <c r="I27" s="278">
        <f>ROUND(VLOOKUP($E27,'BDEW-Standard'!$B$3:$M$94,I$9,0),7)</f>
        <v>-36.023791199999998</v>
      </c>
      <c r="J27" s="278">
        <f>ROUND(VLOOKUP($E27,'BDEW-Standard'!$B$3:$M$94,J$9,0),7)</f>
        <v>4.8662747</v>
      </c>
      <c r="K27" s="278">
        <f>ROUND(VLOOKUP($E27,'BDEW-Standard'!$B$3:$M$94,K$9,0),7)</f>
        <v>0.80494250000000001</v>
      </c>
      <c r="L27" s="279">
        <f>ROUND(VLOOKUP($E27,'BDEW-Standard'!$B$3:$M$94,L$9,0),1)</f>
        <v>40</v>
      </c>
      <c r="M27" s="278">
        <f>ROUND(VLOOKUP($E27,'BDEW-Standard'!$B$3:$M$94,M$9,0),7)</f>
        <v>0</v>
      </c>
      <c r="N27" s="278">
        <f>ROUND(VLOOKUP($E27,'BDEW-Standard'!$B$3:$M$94,N$9,0),7)</f>
        <v>0</v>
      </c>
      <c r="O27" s="278">
        <f>ROUND(VLOOKUP($E27,'BDEW-Standard'!$B$3:$M$94,O$9,0),7)</f>
        <v>0</v>
      </c>
      <c r="P27" s="278">
        <f>ROUND(VLOOKUP($E27,'BDEW-Standard'!$B$3:$M$94,P$9,0),7)</f>
        <v>0</v>
      </c>
      <c r="Q27" s="280">
        <f t="shared" si="1"/>
        <v>1.0804258319686442</v>
      </c>
      <c r="R27" s="281">
        <f>ROUND(VLOOKUP(MID($E27,4,3),'Wochentag F(WT)'!$B$7:$J$22,R$9,0),4)</f>
        <v>1.2457</v>
      </c>
      <c r="S27" s="281">
        <f>ROUND(VLOOKUP(MID($E27,4,3),'Wochentag F(WT)'!$B$7:$J$22,S$9,0),4)</f>
        <v>1.2615000000000001</v>
      </c>
      <c r="T27" s="281">
        <f>ROUND(VLOOKUP(MID($E27,4,3),'Wochentag F(WT)'!$B$7:$J$22,T$9,0),4)</f>
        <v>1.2706999999999999</v>
      </c>
      <c r="U27" s="281">
        <f>ROUND(VLOOKUP(MID($E27,4,3),'Wochentag F(WT)'!$B$7:$J$22,U$9,0),4)</f>
        <v>1.2430000000000001</v>
      </c>
      <c r="V27" s="281">
        <f>ROUND(VLOOKUP(MID($E27,4,3),'Wochentag F(WT)'!$B$7:$J$22,V$9,0),4)</f>
        <v>1.1275999999999999</v>
      </c>
      <c r="W27" s="281">
        <f>ROUND(VLOOKUP(MID($E27,4,3),'Wochentag F(WT)'!$B$7:$J$22,W$9,0),4)</f>
        <v>0.38769999999999999</v>
      </c>
      <c r="X27" s="282">
        <f t="shared" ref="X27:X38" si="3">7-SUM(R27:W27)</f>
        <v>0.46379999999999999</v>
      </c>
      <c r="Y27" s="303"/>
    </row>
    <row r="28" spans="2:26" s="143" customFormat="1">
      <c r="B28" s="144">
        <v>17</v>
      </c>
      <c r="C28" s="145" t="str">
        <f t="shared" si="0"/>
        <v>NCG L-Gas</v>
      </c>
      <c r="D28" s="62" t="s">
        <v>249</v>
      </c>
      <c r="E28" s="166" t="s">
        <v>684</v>
      </c>
      <c r="F28" s="307" t="str">
        <f>VLOOKUP($E28,'BDEW-Standard'!$B$3:$M$94,F$9,0)</f>
        <v>WA4</v>
      </c>
      <c r="H28" s="278">
        <f>ROUND(VLOOKUP($E28,'BDEW-Standard'!$B$3:$M$94,H$9,0),7)</f>
        <v>1.0535874999999999</v>
      </c>
      <c r="I28" s="278">
        <f>ROUND(VLOOKUP($E28,'BDEW-Standard'!$B$3:$M$94,I$9,0),7)</f>
        <v>-35.299999999999997</v>
      </c>
      <c r="J28" s="278">
        <f>ROUND(VLOOKUP($E28,'BDEW-Standard'!$B$3:$M$94,J$9,0),7)</f>
        <v>4.8662747</v>
      </c>
      <c r="K28" s="278">
        <f>ROUND(VLOOKUP($E28,'BDEW-Standard'!$B$3:$M$94,K$9,0),7)</f>
        <v>0.68110420000000005</v>
      </c>
      <c r="L28" s="279">
        <f>ROUND(VLOOKUP($E28,'BDEW-Standard'!$B$3:$M$94,L$9,0),1)</f>
        <v>40</v>
      </c>
      <c r="M28" s="278">
        <f>ROUND(VLOOKUP($E28,'BDEW-Standard'!$B$3:$M$94,M$9,0),7)</f>
        <v>0</v>
      </c>
      <c r="N28" s="278">
        <f>ROUND(VLOOKUP($E28,'BDEW-Standard'!$B$3:$M$94,N$9,0),7)</f>
        <v>0</v>
      </c>
      <c r="O28" s="278">
        <f>ROUND(VLOOKUP($E28,'BDEW-Standard'!$B$3:$M$94,O$9,0),7)</f>
        <v>0</v>
      </c>
      <c r="P28" s="278">
        <f>ROUND(VLOOKUP($E28,'BDEW-Standard'!$B$3:$M$94,P$9,0),7)</f>
        <v>0</v>
      </c>
      <c r="Q28" s="280">
        <f t="shared" si="1"/>
        <v>1.0844348950990992</v>
      </c>
      <c r="R28" s="281">
        <f>ROUND(VLOOKUP(MID($E28,4,3),'Wochentag F(WT)'!$B$7:$J$22,R$9,0),4)</f>
        <v>1.2457</v>
      </c>
      <c r="S28" s="281">
        <f>ROUND(VLOOKUP(MID($E28,4,3),'Wochentag F(WT)'!$B$7:$J$22,S$9,0),4)</f>
        <v>1.2615000000000001</v>
      </c>
      <c r="T28" s="281">
        <f>ROUND(VLOOKUP(MID($E28,4,3),'Wochentag F(WT)'!$B$7:$J$22,T$9,0),4)</f>
        <v>1.2706999999999999</v>
      </c>
      <c r="U28" s="281">
        <f>ROUND(VLOOKUP(MID($E28,4,3),'Wochentag F(WT)'!$B$7:$J$22,U$9,0),4)</f>
        <v>1.2430000000000001</v>
      </c>
      <c r="V28" s="281">
        <f>ROUND(VLOOKUP(MID($E28,4,3),'Wochentag F(WT)'!$B$7:$J$22,V$9,0),4)</f>
        <v>1.1275999999999999</v>
      </c>
      <c r="W28" s="281">
        <f>ROUND(VLOOKUP(MID($E28,4,3),'Wochentag F(WT)'!$B$7:$J$22,W$9,0),4)</f>
        <v>0.38769999999999999</v>
      </c>
      <c r="X28" s="282">
        <f t="shared" si="3"/>
        <v>0.46379999999999999</v>
      </c>
      <c r="Y28" s="303"/>
    </row>
    <row r="29" spans="2:26" s="143" customFormat="1">
      <c r="B29" s="144">
        <v>18</v>
      </c>
      <c r="C29" s="145" t="str">
        <f t="shared" si="0"/>
        <v>NCG L-Gas</v>
      </c>
      <c r="D29" s="62" t="s">
        <v>249</v>
      </c>
      <c r="E29" s="166" t="s">
        <v>685</v>
      </c>
      <c r="F29" s="307" t="str">
        <f>VLOOKUP($E29,'BDEW-Standard'!$B$3:$M$94,F$9,0)</f>
        <v>GB3</v>
      </c>
      <c r="H29" s="278">
        <f>ROUND(VLOOKUP($E29,'BDEW-Standard'!$B$3:$M$94,H$9,0),7)</f>
        <v>3.2572741999999999</v>
      </c>
      <c r="I29" s="278">
        <f>ROUND(VLOOKUP($E29,'BDEW-Standard'!$B$3:$M$94,I$9,0),7)</f>
        <v>-37.5</v>
      </c>
      <c r="J29" s="278">
        <f>ROUND(VLOOKUP($E29,'BDEW-Standard'!$B$3:$M$94,J$9,0),7)</f>
        <v>6.3462148000000003</v>
      </c>
      <c r="K29" s="278">
        <f>ROUND(VLOOKUP($E29,'BDEW-Standard'!$B$3:$M$94,K$9,0),7)</f>
        <v>8.6622699999999997E-2</v>
      </c>
      <c r="L29" s="279">
        <f>ROUND(VLOOKUP($E29,'BDEW-Standard'!$B$3:$M$94,L$9,0),1)</f>
        <v>40</v>
      </c>
      <c r="M29" s="278">
        <f>ROUND(VLOOKUP($E29,'BDEW-Standard'!$B$3:$M$94,M$9,0),7)</f>
        <v>0</v>
      </c>
      <c r="N29" s="278">
        <f>ROUND(VLOOKUP($E29,'BDEW-Standard'!$B$3:$M$94,N$9,0),7)</f>
        <v>0</v>
      </c>
      <c r="O29" s="278">
        <f>ROUND(VLOOKUP($E29,'BDEW-Standard'!$B$3:$M$94,O$9,0),7)</f>
        <v>0</v>
      </c>
      <c r="P29" s="278">
        <f>ROUND(VLOOKUP($E29,'BDEW-Standard'!$B$3:$M$94,P$9,0),7)</f>
        <v>0</v>
      </c>
      <c r="Q29" s="280">
        <f t="shared" si="1"/>
        <v>0.9584556323619029</v>
      </c>
      <c r="R29" s="281">
        <f>ROUND(VLOOKUP(MID($E29,4,3),'Wochentag F(WT)'!$B$7:$J$22,R$9,0),4)</f>
        <v>0.98970000000000002</v>
      </c>
      <c r="S29" s="281">
        <f>ROUND(VLOOKUP(MID($E29,4,3),'Wochentag F(WT)'!$B$7:$J$22,S$9,0),4)</f>
        <v>0.9627</v>
      </c>
      <c r="T29" s="281">
        <f>ROUND(VLOOKUP(MID($E29,4,3),'Wochentag F(WT)'!$B$7:$J$22,T$9,0),4)</f>
        <v>1.0507</v>
      </c>
      <c r="U29" s="281">
        <f>ROUND(VLOOKUP(MID($E29,4,3),'Wochentag F(WT)'!$B$7:$J$22,U$9,0),4)</f>
        <v>1.0551999999999999</v>
      </c>
      <c r="V29" s="281">
        <f>ROUND(VLOOKUP(MID($E29,4,3),'Wochentag F(WT)'!$B$7:$J$22,V$9,0),4)</f>
        <v>1.0297000000000001</v>
      </c>
      <c r="W29" s="281">
        <f>ROUND(VLOOKUP(MID($E29,4,3),'Wochentag F(WT)'!$B$7:$J$22,W$9,0),4)</f>
        <v>0.97670000000000001</v>
      </c>
      <c r="X29" s="282">
        <f t="shared" si="3"/>
        <v>0.9352999999999998</v>
      </c>
      <c r="Y29" s="303"/>
    </row>
    <row r="30" spans="2:26" s="143" customFormat="1">
      <c r="B30" s="144">
        <v>19</v>
      </c>
      <c r="C30" s="145" t="str">
        <f t="shared" si="0"/>
        <v>NCG L-Gas</v>
      </c>
      <c r="D30" s="62" t="s">
        <v>249</v>
      </c>
      <c r="E30" s="166" t="s">
        <v>686</v>
      </c>
      <c r="F30" s="307" t="str">
        <f>VLOOKUP($E30,'BDEW-Standard'!$B$3:$M$94,F$9,0)</f>
        <v>GB4</v>
      </c>
      <c r="H30" s="278">
        <f>ROUND(VLOOKUP($E30,'BDEW-Standard'!$B$3:$M$94,H$9,0),7)</f>
        <v>3.6017736</v>
      </c>
      <c r="I30" s="278">
        <f>ROUND(VLOOKUP($E30,'BDEW-Standard'!$B$3:$M$94,I$9,0),7)</f>
        <v>-37.882536799999997</v>
      </c>
      <c r="J30" s="278">
        <f>ROUND(VLOOKUP($E30,'BDEW-Standard'!$B$3:$M$94,J$9,0),7)</f>
        <v>6.9836070000000001</v>
      </c>
      <c r="K30" s="278">
        <f>ROUND(VLOOKUP($E30,'BDEW-Standard'!$B$3:$M$94,K$9,0),7)</f>
        <v>5.4826199999999999E-2</v>
      </c>
      <c r="L30" s="279">
        <f>ROUND(VLOOKUP($E30,'BDEW-Standard'!$B$3:$M$94,L$9,0),1)</f>
        <v>40</v>
      </c>
      <c r="M30" s="278">
        <f>ROUND(VLOOKUP($E30,'BDEW-Standard'!$B$3:$M$94,M$9,0),7)</f>
        <v>0</v>
      </c>
      <c r="N30" s="278">
        <f>ROUND(VLOOKUP($E30,'BDEW-Standard'!$B$3:$M$94,N$9,0),7)</f>
        <v>0</v>
      </c>
      <c r="O30" s="278">
        <f>ROUND(VLOOKUP($E30,'BDEW-Standard'!$B$3:$M$94,O$9,0),7)</f>
        <v>0</v>
      </c>
      <c r="P30" s="278">
        <f>ROUND(VLOOKUP($E30,'BDEW-Standard'!$B$3:$M$94,P$9,0),7)</f>
        <v>0</v>
      </c>
      <c r="Q30" s="280">
        <f t="shared" si="1"/>
        <v>0.90239375975311864</v>
      </c>
      <c r="R30" s="281">
        <f>ROUND(VLOOKUP(MID($E30,4,3),'Wochentag F(WT)'!$B$7:$J$22,R$9,0),4)</f>
        <v>0.98970000000000002</v>
      </c>
      <c r="S30" s="281">
        <f>ROUND(VLOOKUP(MID($E30,4,3),'Wochentag F(WT)'!$B$7:$J$22,S$9,0),4)</f>
        <v>0.9627</v>
      </c>
      <c r="T30" s="281">
        <f>ROUND(VLOOKUP(MID($E30,4,3),'Wochentag F(WT)'!$B$7:$J$22,T$9,0),4)</f>
        <v>1.0507</v>
      </c>
      <c r="U30" s="281">
        <f>ROUND(VLOOKUP(MID($E30,4,3),'Wochentag F(WT)'!$B$7:$J$22,U$9,0),4)</f>
        <v>1.0551999999999999</v>
      </c>
      <c r="V30" s="281">
        <f>ROUND(VLOOKUP(MID($E30,4,3),'Wochentag F(WT)'!$B$7:$J$22,V$9,0),4)</f>
        <v>1.0297000000000001</v>
      </c>
      <c r="W30" s="281">
        <f>ROUND(VLOOKUP(MID($E30,4,3),'Wochentag F(WT)'!$B$7:$J$22,W$9,0),4)</f>
        <v>0.97670000000000001</v>
      </c>
      <c r="X30" s="282">
        <f t="shared" si="3"/>
        <v>0.9352999999999998</v>
      </c>
      <c r="Y30" s="303"/>
    </row>
    <row r="31" spans="2:26" s="143" customFormat="1">
      <c r="B31" s="144">
        <v>20</v>
      </c>
      <c r="C31" s="145" t="str">
        <f t="shared" si="0"/>
        <v>NCG L-Gas</v>
      </c>
      <c r="D31" s="62" t="s">
        <v>249</v>
      </c>
      <c r="E31" s="166" t="s">
        <v>687</v>
      </c>
      <c r="F31" s="307" t="str">
        <f>VLOOKUP($E31,'BDEW-Standard'!$B$3:$M$94,F$9,0)</f>
        <v>BA3</v>
      </c>
      <c r="H31" s="278">
        <f>ROUND(VLOOKUP($E31,'BDEW-Standard'!$B$3:$M$94,H$9,0),7)</f>
        <v>0.62619619999999998</v>
      </c>
      <c r="I31" s="278">
        <f>ROUND(VLOOKUP($E31,'BDEW-Standard'!$B$3:$M$94,I$9,0),7)</f>
        <v>-33</v>
      </c>
      <c r="J31" s="278">
        <f>ROUND(VLOOKUP($E31,'BDEW-Standard'!$B$3:$M$94,J$9,0),7)</f>
        <v>5.7212303000000002</v>
      </c>
      <c r="K31" s="278">
        <f>ROUND(VLOOKUP($E31,'BDEW-Standard'!$B$3:$M$94,K$9,0),7)</f>
        <v>0.78556550000000003</v>
      </c>
      <c r="L31" s="279">
        <f>ROUND(VLOOKUP($E31,'BDEW-Standard'!$B$3:$M$94,L$9,0),1)</f>
        <v>40</v>
      </c>
      <c r="M31" s="278">
        <f>ROUND(VLOOKUP($E31,'BDEW-Standard'!$B$3:$M$94,M$9,0),7)</f>
        <v>0</v>
      </c>
      <c r="N31" s="278">
        <f>ROUND(VLOOKUP($E31,'BDEW-Standard'!$B$3:$M$94,N$9,0),7)</f>
        <v>0</v>
      </c>
      <c r="O31" s="278">
        <f>ROUND(VLOOKUP($E31,'BDEW-Standard'!$B$3:$M$94,O$9,0),7)</f>
        <v>0</v>
      </c>
      <c r="P31" s="278">
        <f>ROUND(VLOOKUP($E31,'BDEW-Standard'!$B$3:$M$94,P$9,0),7)</f>
        <v>0</v>
      </c>
      <c r="Q31" s="280">
        <f t="shared" si="1"/>
        <v>1.0711738317583412</v>
      </c>
      <c r="R31" s="281">
        <f>ROUND(VLOOKUP(MID($E31,4,3),'Wochentag F(WT)'!$B$7:$J$22,R$9,0),4)</f>
        <v>1.0848</v>
      </c>
      <c r="S31" s="281">
        <f>ROUND(VLOOKUP(MID($E31,4,3),'Wochentag F(WT)'!$B$7:$J$22,S$9,0),4)</f>
        <v>1.1211</v>
      </c>
      <c r="T31" s="281">
        <f>ROUND(VLOOKUP(MID($E31,4,3),'Wochentag F(WT)'!$B$7:$J$22,T$9,0),4)</f>
        <v>1.0769</v>
      </c>
      <c r="U31" s="281">
        <f>ROUND(VLOOKUP(MID($E31,4,3),'Wochentag F(WT)'!$B$7:$J$22,U$9,0),4)</f>
        <v>1.1353</v>
      </c>
      <c r="V31" s="281">
        <f>ROUND(VLOOKUP(MID($E31,4,3),'Wochentag F(WT)'!$B$7:$J$22,V$9,0),4)</f>
        <v>1.1402000000000001</v>
      </c>
      <c r="W31" s="281">
        <f>ROUND(VLOOKUP(MID($E31,4,3),'Wochentag F(WT)'!$B$7:$J$22,W$9,0),4)</f>
        <v>0.48520000000000002</v>
      </c>
      <c r="X31" s="282">
        <f t="shared" si="3"/>
        <v>0.95650000000000013</v>
      </c>
      <c r="Y31" s="303"/>
    </row>
    <row r="32" spans="2:26" s="143" customFormat="1">
      <c r="B32" s="144">
        <v>21</v>
      </c>
      <c r="C32" s="145" t="str">
        <f t="shared" si="0"/>
        <v>NCG L-Gas</v>
      </c>
      <c r="D32" s="62" t="s">
        <v>249</v>
      </c>
      <c r="E32" s="166" t="s">
        <v>688</v>
      </c>
      <c r="F32" s="307" t="str">
        <f>VLOOKUP($E32,'BDEW-Standard'!$B$3:$M$94,F$9,0)</f>
        <v>BA4</v>
      </c>
      <c r="H32" s="278">
        <f>ROUND(VLOOKUP($E32,'BDEW-Standard'!$B$3:$M$94,H$9,0),7)</f>
        <v>0.93158890000000005</v>
      </c>
      <c r="I32" s="278">
        <f>ROUND(VLOOKUP($E32,'BDEW-Standard'!$B$3:$M$94,I$9,0),7)</f>
        <v>-33.35</v>
      </c>
      <c r="J32" s="278">
        <f>ROUND(VLOOKUP($E32,'BDEW-Standard'!$B$3:$M$94,J$9,0),7)</f>
        <v>5.7212303000000002</v>
      </c>
      <c r="K32" s="278">
        <f>ROUND(VLOOKUP($E32,'BDEW-Standard'!$B$3:$M$94,K$9,0),7)</f>
        <v>0.66564939999999995</v>
      </c>
      <c r="L32" s="279">
        <f>ROUND(VLOOKUP($E32,'BDEW-Standard'!$B$3:$M$94,L$9,0),1)</f>
        <v>40</v>
      </c>
      <c r="M32" s="278">
        <f>ROUND(VLOOKUP($E32,'BDEW-Standard'!$B$3:$M$94,M$9,0),7)</f>
        <v>0</v>
      </c>
      <c r="N32" s="278">
        <f>ROUND(VLOOKUP($E32,'BDEW-Standard'!$B$3:$M$94,N$9,0),7)</f>
        <v>0</v>
      </c>
      <c r="O32" s="278">
        <f>ROUND(VLOOKUP($E32,'BDEW-Standard'!$B$3:$M$94,O$9,0),7)</f>
        <v>0</v>
      </c>
      <c r="P32" s="278">
        <f>ROUND(VLOOKUP($E32,'BDEW-Standard'!$B$3:$M$94,P$9,0),7)</f>
        <v>0</v>
      </c>
      <c r="Q32" s="280">
        <f t="shared" si="1"/>
        <v>1.0766391850538448</v>
      </c>
      <c r="R32" s="281">
        <f>ROUND(VLOOKUP(MID($E32,4,3),'Wochentag F(WT)'!$B$7:$J$22,R$9,0),4)</f>
        <v>1.0848</v>
      </c>
      <c r="S32" s="281">
        <f>ROUND(VLOOKUP(MID($E32,4,3),'Wochentag F(WT)'!$B$7:$J$22,S$9,0),4)</f>
        <v>1.1211</v>
      </c>
      <c r="T32" s="281">
        <f>ROUND(VLOOKUP(MID($E32,4,3),'Wochentag F(WT)'!$B$7:$J$22,T$9,0),4)</f>
        <v>1.0769</v>
      </c>
      <c r="U32" s="281">
        <f>ROUND(VLOOKUP(MID($E32,4,3),'Wochentag F(WT)'!$B$7:$J$22,U$9,0),4)</f>
        <v>1.1353</v>
      </c>
      <c r="V32" s="281">
        <f>ROUND(VLOOKUP(MID($E32,4,3),'Wochentag F(WT)'!$B$7:$J$22,V$9,0),4)</f>
        <v>1.1402000000000001</v>
      </c>
      <c r="W32" s="281">
        <f>ROUND(VLOOKUP(MID($E32,4,3),'Wochentag F(WT)'!$B$7:$J$22,W$9,0),4)</f>
        <v>0.48520000000000002</v>
      </c>
      <c r="X32" s="282">
        <f t="shared" si="3"/>
        <v>0.95650000000000013</v>
      </c>
      <c r="Y32" s="303"/>
    </row>
    <row r="33" spans="2:25" s="143" customFormat="1">
      <c r="B33" s="144">
        <v>22</v>
      </c>
      <c r="C33" s="145" t="str">
        <f t="shared" si="0"/>
        <v>NCG L-Gas</v>
      </c>
      <c r="D33" s="62" t="s">
        <v>249</v>
      </c>
      <c r="E33" s="166" t="s">
        <v>689</v>
      </c>
      <c r="F33" s="307" t="str">
        <f>VLOOKUP($E33,'BDEW-Standard'!$B$3:$M$94,F$9,0)</f>
        <v>PD3</v>
      </c>
      <c r="H33" s="278">
        <f>ROUND(VLOOKUP($E33,'BDEW-Standard'!$B$3:$M$94,H$9,0),7)</f>
        <v>3.2</v>
      </c>
      <c r="I33" s="278">
        <f>ROUND(VLOOKUP($E33,'BDEW-Standard'!$B$3:$M$94,I$9,0),7)</f>
        <v>-35.799999999999997</v>
      </c>
      <c r="J33" s="278">
        <f>ROUND(VLOOKUP($E33,'BDEW-Standard'!$B$3:$M$94,J$9,0),7)</f>
        <v>8.4</v>
      </c>
      <c r="K33" s="278">
        <f>ROUND(VLOOKUP($E33,'BDEW-Standard'!$B$3:$M$94,K$9,0),7)</f>
        <v>9.3848600000000004E-2</v>
      </c>
      <c r="L33" s="279">
        <f>ROUND(VLOOKUP($E33,'BDEW-Standard'!$B$3:$M$94,L$9,0),1)</f>
        <v>40</v>
      </c>
      <c r="M33" s="278">
        <f>ROUND(VLOOKUP($E33,'BDEW-Standard'!$B$3:$M$94,M$9,0),7)</f>
        <v>0</v>
      </c>
      <c r="N33" s="278">
        <f>ROUND(VLOOKUP($E33,'BDEW-Standard'!$B$3:$M$94,N$9,0),7)</f>
        <v>0</v>
      </c>
      <c r="O33" s="278">
        <f>ROUND(VLOOKUP($E33,'BDEW-Standard'!$B$3:$M$94,O$9,0),7)</f>
        <v>0</v>
      </c>
      <c r="P33" s="278">
        <f>ROUND(VLOOKUP($E33,'BDEW-Standard'!$B$3:$M$94,P$9,0),7)</f>
        <v>0</v>
      </c>
      <c r="Q33" s="280">
        <f t="shared" si="1"/>
        <v>0.99106250024889242</v>
      </c>
      <c r="R33" s="281">
        <f>ROUND(VLOOKUP(MID($E33,4,3),'Wochentag F(WT)'!$B$7:$J$22,R$9,0),4)</f>
        <v>1.0214000000000001</v>
      </c>
      <c r="S33" s="281">
        <f>ROUND(VLOOKUP(MID($E33,4,3),'Wochentag F(WT)'!$B$7:$J$22,S$9,0),4)</f>
        <v>1.0866</v>
      </c>
      <c r="T33" s="281">
        <f>ROUND(VLOOKUP(MID($E33,4,3),'Wochentag F(WT)'!$B$7:$J$22,T$9,0),4)</f>
        <v>1.0720000000000001</v>
      </c>
      <c r="U33" s="281">
        <f>ROUND(VLOOKUP(MID($E33,4,3),'Wochentag F(WT)'!$B$7:$J$22,U$9,0),4)</f>
        <v>1.0557000000000001</v>
      </c>
      <c r="V33" s="281">
        <f>ROUND(VLOOKUP(MID($E33,4,3),'Wochentag F(WT)'!$B$7:$J$22,V$9,0),4)</f>
        <v>1.0117</v>
      </c>
      <c r="W33" s="281">
        <f>ROUND(VLOOKUP(MID($E33,4,3),'Wochentag F(WT)'!$B$7:$J$22,W$9,0),4)</f>
        <v>0.90010000000000001</v>
      </c>
      <c r="X33" s="282">
        <f t="shared" si="3"/>
        <v>0.85249999999999915</v>
      </c>
      <c r="Y33" s="303"/>
    </row>
    <row r="34" spans="2:25" s="143" customFormat="1">
      <c r="B34" s="144">
        <v>23</v>
      </c>
      <c r="C34" s="145" t="str">
        <f t="shared" si="0"/>
        <v>NCG L-Gas</v>
      </c>
      <c r="D34" s="62" t="s">
        <v>249</v>
      </c>
      <c r="E34" s="166" t="s">
        <v>690</v>
      </c>
      <c r="F34" s="307" t="str">
        <f>VLOOKUP($E34,'BDEW-Standard'!$B$3:$M$94,F$9,0)</f>
        <v>PD4</v>
      </c>
      <c r="H34" s="278">
        <f>ROUND(VLOOKUP($E34,'BDEW-Standard'!$B$3:$M$94,H$9,0),7)</f>
        <v>3.85</v>
      </c>
      <c r="I34" s="278">
        <f>ROUND(VLOOKUP($E34,'BDEW-Standard'!$B$3:$M$94,I$9,0),7)</f>
        <v>-37</v>
      </c>
      <c r="J34" s="278">
        <f>ROUND(VLOOKUP($E34,'BDEW-Standard'!$B$3:$M$94,J$9,0),7)</f>
        <v>10.2405021</v>
      </c>
      <c r="K34" s="278">
        <f>ROUND(VLOOKUP($E34,'BDEW-Standard'!$B$3:$M$94,K$9,0),7)</f>
        <v>4.6924300000000002E-2</v>
      </c>
      <c r="L34" s="279">
        <f>ROUND(VLOOKUP($E34,'BDEW-Standard'!$B$3:$M$94,L$9,0),1)</f>
        <v>40</v>
      </c>
      <c r="M34" s="278">
        <f>ROUND(VLOOKUP($E34,'BDEW-Standard'!$B$3:$M$94,M$9,0),7)</f>
        <v>0</v>
      </c>
      <c r="N34" s="278">
        <f>ROUND(VLOOKUP($E34,'BDEW-Standard'!$B$3:$M$94,N$9,0),7)</f>
        <v>0</v>
      </c>
      <c r="O34" s="278">
        <f>ROUND(VLOOKUP($E34,'BDEW-Standard'!$B$3:$M$94,O$9,0),7)</f>
        <v>0</v>
      </c>
      <c r="P34" s="278">
        <f>ROUND(VLOOKUP($E34,'BDEW-Standard'!$B$3:$M$94,P$9,0),7)</f>
        <v>0</v>
      </c>
      <c r="Q34" s="280">
        <f t="shared" si="1"/>
        <v>0.75691065279879233</v>
      </c>
      <c r="R34" s="281">
        <f>ROUND(VLOOKUP(MID($E34,4,3),'Wochentag F(WT)'!$B$7:$J$22,R$9,0),4)</f>
        <v>1.0214000000000001</v>
      </c>
      <c r="S34" s="281">
        <f>ROUND(VLOOKUP(MID($E34,4,3),'Wochentag F(WT)'!$B$7:$J$22,S$9,0),4)</f>
        <v>1.0866</v>
      </c>
      <c r="T34" s="281">
        <f>ROUND(VLOOKUP(MID($E34,4,3),'Wochentag F(WT)'!$B$7:$J$22,T$9,0),4)</f>
        <v>1.0720000000000001</v>
      </c>
      <c r="U34" s="281">
        <f>ROUND(VLOOKUP(MID($E34,4,3),'Wochentag F(WT)'!$B$7:$J$22,U$9,0),4)</f>
        <v>1.0557000000000001</v>
      </c>
      <c r="V34" s="281">
        <f>ROUND(VLOOKUP(MID($E34,4,3),'Wochentag F(WT)'!$B$7:$J$22,V$9,0),4)</f>
        <v>1.0117</v>
      </c>
      <c r="W34" s="281">
        <f>ROUND(VLOOKUP(MID($E34,4,3),'Wochentag F(WT)'!$B$7:$J$22,W$9,0),4)</f>
        <v>0.90010000000000001</v>
      </c>
      <c r="X34" s="282">
        <f t="shared" si="3"/>
        <v>0.85249999999999915</v>
      </c>
      <c r="Y34" s="303"/>
    </row>
    <row r="35" spans="2:25" s="143" customFormat="1">
      <c r="B35" s="144">
        <v>24</v>
      </c>
      <c r="C35" s="145" t="str">
        <f t="shared" si="0"/>
        <v>NCG L-Gas</v>
      </c>
      <c r="D35" s="62" t="s">
        <v>249</v>
      </c>
      <c r="E35" s="166" t="s">
        <v>691</v>
      </c>
      <c r="F35" s="307" t="str">
        <f>VLOOKUP($E35,'BDEW-Standard'!$B$3:$M$94,F$9,0)</f>
        <v>MF3</v>
      </c>
      <c r="H35" s="278">
        <f>ROUND(VLOOKUP($E35,'BDEW-Standard'!$B$3:$M$94,H$9,0),7)</f>
        <v>2.3877617999999998</v>
      </c>
      <c r="I35" s="278">
        <f>ROUND(VLOOKUP($E35,'BDEW-Standard'!$B$3:$M$94,I$9,0),7)</f>
        <v>-34.721360500000003</v>
      </c>
      <c r="J35" s="278">
        <f>ROUND(VLOOKUP($E35,'BDEW-Standard'!$B$3:$M$94,J$9,0),7)</f>
        <v>5.8164303999999998</v>
      </c>
      <c r="K35" s="278">
        <f>ROUND(VLOOKUP($E35,'BDEW-Standard'!$B$3:$M$94,K$9,0),7)</f>
        <v>0.12081939999999999</v>
      </c>
      <c r="L35" s="279">
        <f>ROUND(VLOOKUP($E35,'BDEW-Standard'!$B$3:$M$94,L$9,0),1)</f>
        <v>40</v>
      </c>
      <c r="M35" s="278">
        <f>ROUND(VLOOKUP($E35,'BDEW-Standard'!$B$3:$M$94,M$9,0),7)</f>
        <v>0</v>
      </c>
      <c r="N35" s="278">
        <f>ROUND(VLOOKUP($E35,'BDEW-Standard'!$B$3:$M$94,N$9,0),7)</f>
        <v>0</v>
      </c>
      <c r="O35" s="278">
        <f>ROUND(VLOOKUP($E35,'BDEW-Standard'!$B$3:$M$94,O$9,0),7)</f>
        <v>0</v>
      </c>
      <c r="P35" s="278">
        <f>ROUND(VLOOKUP($E35,'BDEW-Standard'!$B$3:$M$94,P$9,0),7)</f>
        <v>0</v>
      </c>
      <c r="Q35" s="280">
        <f t="shared" si="1"/>
        <v>1.0365184142102302</v>
      </c>
      <c r="R35" s="281">
        <f>ROUND(VLOOKUP(MID($E35,4,3),'Wochentag F(WT)'!$B$7:$J$22,R$9,0),4)</f>
        <v>1.0354000000000001</v>
      </c>
      <c r="S35" s="281">
        <f>ROUND(VLOOKUP(MID($E35,4,3),'Wochentag F(WT)'!$B$7:$J$22,S$9,0),4)</f>
        <v>1.0523</v>
      </c>
      <c r="T35" s="281">
        <f>ROUND(VLOOKUP(MID($E35,4,3),'Wochentag F(WT)'!$B$7:$J$22,T$9,0),4)</f>
        <v>1.0448999999999999</v>
      </c>
      <c r="U35" s="281">
        <f>ROUND(VLOOKUP(MID($E35,4,3),'Wochentag F(WT)'!$B$7:$J$22,U$9,0),4)</f>
        <v>1.0494000000000001</v>
      </c>
      <c r="V35" s="281">
        <f>ROUND(VLOOKUP(MID($E35,4,3),'Wochentag F(WT)'!$B$7:$J$22,V$9,0),4)</f>
        <v>0.98850000000000005</v>
      </c>
      <c r="W35" s="281">
        <f>ROUND(VLOOKUP(MID($E35,4,3),'Wochentag F(WT)'!$B$7:$J$22,W$9,0),4)</f>
        <v>0.88600000000000001</v>
      </c>
      <c r="X35" s="282">
        <f t="shared" si="3"/>
        <v>0.94349999999999934</v>
      </c>
      <c r="Y35" s="303"/>
    </row>
    <row r="36" spans="2:25" s="143" customFormat="1">
      <c r="B36" s="144">
        <v>25</v>
      </c>
      <c r="C36" s="145" t="str">
        <f t="shared" si="0"/>
        <v>NCG L-Gas</v>
      </c>
      <c r="D36" s="62" t="s">
        <v>249</v>
      </c>
      <c r="E36" s="166" t="s">
        <v>692</v>
      </c>
      <c r="F36" s="307" t="str">
        <f>VLOOKUP($E36,'BDEW-Standard'!$B$3:$M$94,F$9,0)</f>
        <v>MF4</v>
      </c>
      <c r="H36" s="278">
        <f>ROUND(VLOOKUP($E36,'BDEW-Standard'!$B$3:$M$94,H$9,0),7)</f>
        <v>2.5187775000000001</v>
      </c>
      <c r="I36" s="278">
        <f>ROUND(VLOOKUP($E36,'BDEW-Standard'!$B$3:$M$94,I$9,0),7)</f>
        <v>-35.033375399999997</v>
      </c>
      <c r="J36" s="278">
        <f>ROUND(VLOOKUP($E36,'BDEW-Standard'!$B$3:$M$94,J$9,0),7)</f>
        <v>6.2240634000000004</v>
      </c>
      <c r="K36" s="278">
        <f>ROUND(VLOOKUP($E36,'BDEW-Standard'!$B$3:$M$94,K$9,0),7)</f>
        <v>0.10107820000000001</v>
      </c>
      <c r="L36" s="279">
        <f>ROUND(VLOOKUP($E36,'BDEW-Standard'!$B$3:$M$94,L$9,0),1)</f>
        <v>40</v>
      </c>
      <c r="M36" s="278">
        <f>ROUND(VLOOKUP($E36,'BDEW-Standard'!$B$3:$M$94,M$9,0),7)</f>
        <v>0</v>
      </c>
      <c r="N36" s="278">
        <f>ROUND(VLOOKUP($E36,'BDEW-Standard'!$B$3:$M$94,N$9,0),7)</f>
        <v>0</v>
      </c>
      <c r="O36" s="278">
        <f>ROUND(VLOOKUP($E36,'BDEW-Standard'!$B$3:$M$94,O$9,0),7)</f>
        <v>0</v>
      </c>
      <c r="P36" s="278">
        <f>ROUND(VLOOKUP($E36,'BDEW-Standard'!$B$3:$M$94,P$9,0),7)</f>
        <v>0</v>
      </c>
      <c r="Q36" s="280">
        <f t="shared" si="1"/>
        <v>1.0146273685996503</v>
      </c>
      <c r="R36" s="281">
        <f>ROUND(VLOOKUP(MID($E36,4,3),'Wochentag F(WT)'!$B$7:$J$22,R$9,0),4)</f>
        <v>1.0354000000000001</v>
      </c>
      <c r="S36" s="281">
        <f>ROUND(VLOOKUP(MID($E36,4,3),'Wochentag F(WT)'!$B$7:$J$22,S$9,0),4)</f>
        <v>1.0523</v>
      </c>
      <c r="T36" s="281">
        <f>ROUND(VLOOKUP(MID($E36,4,3),'Wochentag F(WT)'!$B$7:$J$22,T$9,0),4)</f>
        <v>1.0448999999999999</v>
      </c>
      <c r="U36" s="281">
        <f>ROUND(VLOOKUP(MID($E36,4,3),'Wochentag F(WT)'!$B$7:$J$22,U$9,0),4)</f>
        <v>1.0494000000000001</v>
      </c>
      <c r="V36" s="281">
        <f>ROUND(VLOOKUP(MID($E36,4,3),'Wochentag F(WT)'!$B$7:$J$22,V$9,0),4)</f>
        <v>0.98850000000000005</v>
      </c>
      <c r="W36" s="281">
        <f>ROUND(VLOOKUP(MID($E36,4,3),'Wochentag F(WT)'!$B$7:$J$22,W$9,0),4)</f>
        <v>0.88600000000000001</v>
      </c>
      <c r="X36" s="282">
        <f t="shared" si="3"/>
        <v>0.94349999999999934</v>
      </c>
      <c r="Y36" s="303"/>
    </row>
    <row r="37" spans="2:25" s="143" customFormat="1">
      <c r="B37" s="144">
        <v>26</v>
      </c>
      <c r="C37" s="145" t="str">
        <f t="shared" si="0"/>
        <v>NCG L-Gas</v>
      </c>
      <c r="D37" s="62" t="s">
        <v>249</v>
      </c>
      <c r="E37" s="166" t="s">
        <v>693</v>
      </c>
      <c r="F37" s="307" t="str">
        <f>VLOOKUP($E37,'BDEW-Standard'!$B$3:$M$94,F$9,0)</f>
        <v>HD3</v>
      </c>
      <c r="H37" s="278">
        <f>ROUND(VLOOKUP($E37,'BDEW-Standard'!$B$3:$M$94,H$9,0),7)</f>
        <v>2.5792510000000002</v>
      </c>
      <c r="I37" s="278">
        <f>ROUND(VLOOKUP($E37,'BDEW-Standard'!$B$3:$M$94,I$9,0),7)</f>
        <v>-35.681614400000001</v>
      </c>
      <c r="J37" s="278">
        <f>ROUND(VLOOKUP($E37,'BDEW-Standard'!$B$3:$M$94,J$9,0),7)</f>
        <v>6.6857975999999999</v>
      </c>
      <c r="K37" s="278">
        <f>ROUND(VLOOKUP($E37,'BDEW-Standard'!$B$3:$M$94,K$9,0),7)</f>
        <v>0.19955410000000001</v>
      </c>
      <c r="L37" s="279">
        <f>ROUND(VLOOKUP($E37,'BDEW-Standard'!$B$3:$M$94,L$9,0),1)</f>
        <v>40</v>
      </c>
      <c r="M37" s="278">
        <f>ROUND(VLOOKUP($E37,'BDEW-Standard'!$B$3:$M$94,M$9,0),7)</f>
        <v>0</v>
      </c>
      <c r="N37" s="278">
        <f>ROUND(VLOOKUP($E37,'BDEW-Standard'!$B$3:$M$94,N$9,0),7)</f>
        <v>0</v>
      </c>
      <c r="O37" s="278">
        <f>ROUND(VLOOKUP($E37,'BDEW-Standard'!$B$3:$M$94,O$9,0),7)</f>
        <v>0</v>
      </c>
      <c r="P37" s="278">
        <f>ROUND(VLOOKUP($E37,'BDEW-Standard'!$B$3:$M$94,P$9,0),7)</f>
        <v>0</v>
      </c>
      <c r="Q37" s="280">
        <f t="shared" si="1"/>
        <v>1.0393994293439688</v>
      </c>
      <c r="R37" s="281">
        <f>ROUND(VLOOKUP(MID($E37,4,3),'Wochentag F(WT)'!$B$7:$J$22,R$9,0),4)</f>
        <v>1.03</v>
      </c>
      <c r="S37" s="281">
        <f>ROUND(VLOOKUP(MID($E37,4,3),'Wochentag F(WT)'!$B$7:$J$22,S$9,0),4)</f>
        <v>1.03</v>
      </c>
      <c r="T37" s="281">
        <f>ROUND(VLOOKUP(MID($E37,4,3),'Wochentag F(WT)'!$B$7:$J$22,T$9,0),4)</f>
        <v>1.02</v>
      </c>
      <c r="U37" s="281">
        <f>ROUND(VLOOKUP(MID($E37,4,3),'Wochentag F(WT)'!$B$7:$J$22,U$9,0),4)</f>
        <v>1.03</v>
      </c>
      <c r="V37" s="281">
        <f>ROUND(VLOOKUP(MID($E37,4,3),'Wochentag F(WT)'!$B$7:$J$22,V$9,0),4)</f>
        <v>1.01</v>
      </c>
      <c r="W37" s="281">
        <f>ROUND(VLOOKUP(MID($E37,4,3),'Wochentag F(WT)'!$B$7:$J$22,W$9,0),4)</f>
        <v>0.93</v>
      </c>
      <c r="X37" s="282">
        <f t="shared" si="3"/>
        <v>0.95000000000000018</v>
      </c>
      <c r="Y37" s="303"/>
    </row>
    <row r="38" spans="2:25" s="143" customFormat="1">
      <c r="B38" s="144">
        <v>27</v>
      </c>
      <c r="C38" s="145" t="str">
        <f t="shared" si="0"/>
        <v>NCG L-Gas</v>
      </c>
      <c r="D38" s="62" t="s">
        <v>249</v>
      </c>
      <c r="E38" s="166" t="s">
        <v>694</v>
      </c>
      <c r="F38" s="307" t="str">
        <f>VLOOKUP($E38,'BDEW-Standard'!$B$3:$M$94,F$9,0)</f>
        <v>HD4</v>
      </c>
      <c r="H38" s="278">
        <f>ROUND(VLOOKUP($E38,'BDEW-Standard'!$B$3:$M$94,H$9,0),7)</f>
        <v>3.0084346000000002</v>
      </c>
      <c r="I38" s="278">
        <f>ROUND(VLOOKUP($E38,'BDEW-Standard'!$B$3:$M$94,I$9,0),7)</f>
        <v>-36.607845300000001</v>
      </c>
      <c r="J38" s="278">
        <f>ROUND(VLOOKUP($E38,'BDEW-Standard'!$B$3:$M$94,J$9,0),7)</f>
        <v>7.3211870000000001</v>
      </c>
      <c r="K38" s="278">
        <f>ROUND(VLOOKUP($E38,'BDEW-Standard'!$B$3:$M$94,K$9,0),7)</f>
        <v>0.15496599999999999</v>
      </c>
      <c r="L38" s="279">
        <f>ROUND(VLOOKUP($E38,'BDEW-Standard'!$B$3:$M$94,L$9,0),1)</f>
        <v>40</v>
      </c>
      <c r="M38" s="278">
        <f>ROUND(VLOOKUP($E38,'BDEW-Standard'!$B$3:$M$94,M$9,0),7)</f>
        <v>0</v>
      </c>
      <c r="N38" s="278">
        <f>ROUND(VLOOKUP($E38,'BDEW-Standard'!$B$3:$M$94,N$9,0),7)</f>
        <v>0</v>
      </c>
      <c r="O38" s="278">
        <f>ROUND(VLOOKUP($E38,'BDEW-Standard'!$B$3:$M$94,O$9,0),7)</f>
        <v>0</v>
      </c>
      <c r="P38" s="278">
        <f>ROUND(VLOOKUP($E38,'BDEW-Standard'!$B$3:$M$94,P$9,0),7)</f>
        <v>0</v>
      </c>
      <c r="Q38" s="280">
        <f t="shared" si="1"/>
        <v>0.97302438504000599</v>
      </c>
      <c r="R38" s="281">
        <f>ROUND(VLOOKUP(MID($E38,4,3),'Wochentag F(WT)'!$B$7:$J$22,R$9,0),4)</f>
        <v>1.03</v>
      </c>
      <c r="S38" s="281">
        <f>ROUND(VLOOKUP(MID($E38,4,3),'Wochentag F(WT)'!$B$7:$J$22,S$9,0),4)</f>
        <v>1.03</v>
      </c>
      <c r="T38" s="281">
        <f>ROUND(VLOOKUP(MID($E38,4,3),'Wochentag F(WT)'!$B$7:$J$22,T$9,0),4)</f>
        <v>1.02</v>
      </c>
      <c r="U38" s="281">
        <f>ROUND(VLOOKUP(MID($E38,4,3),'Wochentag F(WT)'!$B$7:$J$22,U$9,0),4)</f>
        <v>1.03</v>
      </c>
      <c r="V38" s="281">
        <f>ROUND(VLOOKUP(MID($E38,4,3),'Wochentag F(WT)'!$B$7:$J$22,V$9,0),4)</f>
        <v>1.01</v>
      </c>
      <c r="W38" s="281">
        <f>ROUND(VLOOKUP(MID($E38,4,3),'Wochentag F(WT)'!$B$7:$J$22,W$9,0),4)</f>
        <v>0.93</v>
      </c>
      <c r="X38" s="282">
        <f t="shared" si="3"/>
        <v>0.95000000000000018</v>
      </c>
      <c r="Y38" s="303"/>
    </row>
    <row r="39" spans="2:25" s="143" customFormat="1">
      <c r="B39" s="144">
        <v>28</v>
      </c>
      <c r="C39" s="145" t="str">
        <f t="shared" si="0"/>
        <v>NCG L-Gas</v>
      </c>
      <c r="D39" s="62" t="s">
        <v>249</v>
      </c>
      <c r="E39" s="166" t="s">
        <v>592</v>
      </c>
      <c r="F39" s="307" t="str">
        <f>VLOOKUP($E39,'BDEW-Standard'!$B$3:$M$94,F$9,0)</f>
        <v>D23</v>
      </c>
      <c r="H39" s="278">
        <f>ROUND(VLOOKUP($E39,'BDEW-Standard'!$B$3:$M$94,H$9,0),7)</f>
        <v>2.3877617999999998</v>
      </c>
      <c r="I39" s="278">
        <f>ROUND(VLOOKUP($E39,'BDEW-Standard'!$B$3:$M$94,I$9,0),7)</f>
        <v>-34.721360500000003</v>
      </c>
      <c r="J39" s="278">
        <f>ROUND(VLOOKUP($E39,'BDEW-Standard'!$B$3:$M$94,J$9,0),7)</f>
        <v>5.8164303999999998</v>
      </c>
      <c r="K39" s="278">
        <f>ROUND(VLOOKUP($E39,'BDEW-Standard'!$B$3:$M$94,K$9,0),7)</f>
        <v>0.12081939999999999</v>
      </c>
      <c r="L39" s="279">
        <f>ROUND(VLOOKUP($E39,'BDEW-Standard'!$B$3:$M$94,L$9,0),1)</f>
        <v>40</v>
      </c>
      <c r="M39" s="278">
        <f>ROUND(VLOOKUP($E39,'BDEW-Standard'!$B$3:$M$94,M$9,0),7)</f>
        <v>0</v>
      </c>
      <c r="N39" s="278">
        <f>ROUND(VLOOKUP($E39,'BDEW-Standard'!$B$3:$M$94,N$9,0),7)</f>
        <v>0</v>
      </c>
      <c r="O39" s="278">
        <f>ROUND(VLOOKUP($E39,'BDEW-Standard'!$B$3:$M$94,O$9,0),7)</f>
        <v>0</v>
      </c>
      <c r="P39" s="278">
        <f>ROUND(VLOOKUP($E39,'BDEW-Standard'!$B$3:$M$94,P$9,0),7)</f>
        <v>0</v>
      </c>
      <c r="Q39" s="280">
        <f t="shared" si="1"/>
        <v>1.0365184142102302</v>
      </c>
      <c r="R39" s="281">
        <f>ROUND(VLOOKUP(MID($E39,4,3),'Wochentag F(WT)'!$B$7:$J$22,R$9,0),4)</f>
        <v>1</v>
      </c>
      <c r="S39" s="281">
        <f>ROUND(VLOOKUP(MID($E39,4,3),'Wochentag F(WT)'!$B$7:$J$22,S$9,0),4)</f>
        <v>1</v>
      </c>
      <c r="T39" s="281">
        <f>ROUND(VLOOKUP(MID($E39,4,3),'Wochentag F(WT)'!$B$7:$J$22,T$9,0),4)</f>
        <v>1</v>
      </c>
      <c r="U39" s="281">
        <f>ROUND(VLOOKUP(MID($E39,4,3),'Wochentag F(WT)'!$B$7:$J$22,U$9,0),4)</f>
        <v>1</v>
      </c>
      <c r="V39" s="281">
        <f>ROUND(VLOOKUP(MID($E39,4,3),'Wochentag F(WT)'!$B$7:$J$22,V$9,0),4)</f>
        <v>1</v>
      </c>
      <c r="W39" s="281">
        <f>ROUND(VLOOKUP(MID($E39,4,3),'Wochentag F(WT)'!$B$7:$J$22,W$9,0),4)</f>
        <v>1</v>
      </c>
      <c r="X39" s="282">
        <f t="shared" ref="X39:X40" si="4">7-SUM(R39:W39)</f>
        <v>1</v>
      </c>
      <c r="Y39" s="303"/>
    </row>
    <row r="40" spans="2:25" s="143" customFormat="1">
      <c r="B40" s="144">
        <v>29</v>
      </c>
      <c r="C40" s="145" t="str">
        <f t="shared" si="0"/>
        <v>NCG L-Gas</v>
      </c>
      <c r="D40" s="62" t="s">
        <v>249</v>
      </c>
      <c r="E40" s="166" t="s">
        <v>695</v>
      </c>
      <c r="F40" s="307" t="str">
        <f>VLOOKUP($E40,'BDEW-Standard'!$B$3:$M$94,F$9,0)</f>
        <v>D24</v>
      </c>
      <c r="H40" s="278">
        <f>ROUND(VLOOKUP($E40,'BDEW-Standard'!$B$3:$M$94,H$9,0),7)</f>
        <v>2.5187775000000001</v>
      </c>
      <c r="I40" s="278">
        <f>ROUND(VLOOKUP($E40,'BDEW-Standard'!$B$3:$M$94,I$9,0),7)</f>
        <v>-35.033375399999997</v>
      </c>
      <c r="J40" s="278">
        <f>ROUND(VLOOKUP($E40,'BDEW-Standard'!$B$3:$M$94,J$9,0),7)</f>
        <v>6.2240634000000004</v>
      </c>
      <c r="K40" s="278">
        <f>ROUND(VLOOKUP($E40,'BDEW-Standard'!$B$3:$M$94,K$9,0),7)</f>
        <v>0.10107820000000001</v>
      </c>
      <c r="L40" s="279">
        <f>ROUND(VLOOKUP($E40,'BDEW-Standard'!$B$3:$M$94,L$9,0),1)</f>
        <v>40</v>
      </c>
      <c r="M40" s="278">
        <f>ROUND(VLOOKUP($E40,'BDEW-Standard'!$B$3:$M$94,M$9,0),7)</f>
        <v>0</v>
      </c>
      <c r="N40" s="278">
        <f>ROUND(VLOOKUP($E40,'BDEW-Standard'!$B$3:$M$94,N$9,0),7)</f>
        <v>0</v>
      </c>
      <c r="O40" s="278">
        <f>ROUND(VLOOKUP($E40,'BDEW-Standard'!$B$3:$M$94,O$9,0),7)</f>
        <v>0</v>
      </c>
      <c r="P40" s="278">
        <f>ROUND(VLOOKUP($E40,'BDEW-Standard'!$B$3:$M$94,P$9,0),7)</f>
        <v>0</v>
      </c>
      <c r="Q40" s="280">
        <f t="shared" si="1"/>
        <v>1.0146273685996503</v>
      </c>
      <c r="R40" s="281">
        <f>ROUND(VLOOKUP(MID($E40,4,3),'Wochentag F(WT)'!$B$7:$J$22,R$9,0),4)</f>
        <v>1</v>
      </c>
      <c r="S40" s="281">
        <f>ROUND(VLOOKUP(MID($E40,4,3),'Wochentag F(WT)'!$B$7:$J$22,S$9,0),4)</f>
        <v>1</v>
      </c>
      <c r="T40" s="281">
        <f>ROUND(VLOOKUP(MID($E40,4,3),'Wochentag F(WT)'!$B$7:$J$22,T$9,0),4)</f>
        <v>1</v>
      </c>
      <c r="U40" s="281">
        <f>ROUND(VLOOKUP(MID($E40,4,3),'Wochentag F(WT)'!$B$7:$J$22,U$9,0),4)</f>
        <v>1</v>
      </c>
      <c r="V40" s="281">
        <f>ROUND(VLOOKUP(MID($E40,4,3),'Wochentag F(WT)'!$B$7:$J$22,V$9,0),4)</f>
        <v>1</v>
      </c>
      <c r="W40" s="281">
        <f>ROUND(VLOOKUP(MID($E40,4,3),'Wochentag F(WT)'!$B$7:$J$22,W$9,0),4)</f>
        <v>1</v>
      </c>
      <c r="X40" s="282">
        <f t="shared" si="4"/>
        <v>1</v>
      </c>
      <c r="Y40" s="303"/>
    </row>
    <row r="41" spans="2:25" s="143" customFormat="1">
      <c r="B41" s="144">
        <v>30</v>
      </c>
      <c r="C41" s="145" t="str">
        <f t="shared" si="0"/>
        <v>NCG L-Gas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mergeCells count="1">
    <mergeCell ref="D7:E7"/>
  </mergeCells>
  <conditionalFormatting sqref="F11:F26 H11:Y26 H41:Y41 F41">
    <cfRule type="expression" dxfId="16" priority="15">
      <formula>ISERROR(F11)</formula>
    </cfRule>
  </conditionalFormatting>
  <conditionalFormatting sqref="E12:F26 Y12:Y26 Y41 E41:F41 E27:E40">
    <cfRule type="duplicateValues" dxfId="15" priority="37"/>
  </conditionalFormatting>
  <conditionalFormatting sqref="F27:F38 H27:Y38">
    <cfRule type="expression" dxfId="14" priority="5">
      <formula>ISERROR(F27)</formula>
    </cfRule>
  </conditionalFormatting>
  <conditionalFormatting sqref="F27:F38 Y27:Y38">
    <cfRule type="duplicateValues" dxfId="13" priority="6"/>
  </conditionalFormatting>
  <conditionalFormatting sqref="F39:F40 H39:Y40">
    <cfRule type="expression" dxfId="12" priority="2">
      <formula>ISERROR(F39)</formula>
    </cfRule>
  </conditionalFormatting>
  <conditionalFormatting sqref="F39:F40 Y39:Y40">
    <cfRule type="duplicateValues" dxfId="11" priority="3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8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Y11:Y26 Y41</xm:sqref>
        </x14:conditionalFormatting>
        <x14:conditionalFormatting xmlns:xm="http://schemas.microsoft.com/office/excel/2006/main">
          <x14:cfRule type="expression" priority="4" id="{0FE75D97-BBC8-4E32-B08A-D0BCCA1C54BA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Y27:Y38</xm:sqref>
        </x14:conditionalFormatting>
        <x14:conditionalFormatting xmlns:xm="http://schemas.microsoft.com/office/excel/2006/main">
          <x14:cfRule type="expression" priority="1" id="{A4B82AD4-FAB9-4DA3-88CC-B595CC4BAA76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Y39:Y40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D13" sqref="D13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349</v>
      </c>
      <c r="B1" s="216">
        <v>42173</v>
      </c>
      <c r="D1" s="131" t="s">
        <v>459</v>
      </c>
      <c r="F1" s="217" t="s">
        <v>553</v>
      </c>
      <c r="N1" s="218"/>
    </row>
    <row r="2" spans="1:14" ht="25.5">
      <c r="A2" s="219" t="s">
        <v>273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319</v>
      </c>
      <c r="D95" s="235" t="s">
        <v>274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324</v>
      </c>
      <c r="D96" s="235" t="s">
        <v>274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329</v>
      </c>
      <c r="D97" s="235" t="s">
        <v>274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334</v>
      </c>
      <c r="D98" s="235" t="s">
        <v>274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287</v>
      </c>
      <c r="D99" s="235" t="s">
        <v>274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291</v>
      </c>
      <c r="D100" s="235" t="s">
        <v>274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295</v>
      </c>
      <c r="D101" s="235" t="s">
        <v>274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299</v>
      </c>
      <c r="D102" s="235" t="s">
        <v>274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303</v>
      </c>
      <c r="D103" s="235" t="s">
        <v>274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307</v>
      </c>
      <c r="D104" s="235" t="s">
        <v>274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311</v>
      </c>
      <c r="D105" s="235" t="s">
        <v>274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315</v>
      </c>
      <c r="D106" s="235" t="s">
        <v>274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320</v>
      </c>
      <c r="D107" s="235" t="s">
        <v>274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325</v>
      </c>
      <c r="D108" s="235" t="s">
        <v>274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330</v>
      </c>
      <c r="D109" s="235" t="s">
        <v>274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335</v>
      </c>
      <c r="D110" s="235" t="s">
        <v>274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275</v>
      </c>
      <c r="D111" s="235" t="s">
        <v>274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276</v>
      </c>
      <c r="D112" s="235" t="s">
        <v>274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277</v>
      </c>
      <c r="D113" s="235" t="s">
        <v>274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278</v>
      </c>
      <c r="D114" s="235" t="s">
        <v>274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288</v>
      </c>
      <c r="D115" s="235" t="s">
        <v>274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292</v>
      </c>
      <c r="D116" s="235" t="s">
        <v>274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296</v>
      </c>
      <c r="D117" s="235" t="s">
        <v>274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300</v>
      </c>
      <c r="D118" s="235" t="s">
        <v>274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279</v>
      </c>
      <c r="D119" s="235" t="s">
        <v>274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281</v>
      </c>
      <c r="D120" s="235" t="s">
        <v>274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283</v>
      </c>
      <c r="D121" s="235" t="s">
        <v>274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285</v>
      </c>
      <c r="D122" s="235" t="s">
        <v>274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321</v>
      </c>
      <c r="D123" s="235" t="s">
        <v>274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326</v>
      </c>
      <c r="D124" s="235" t="s">
        <v>274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331</v>
      </c>
      <c r="D125" s="235" t="s">
        <v>274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336</v>
      </c>
      <c r="D126" s="235" t="s">
        <v>274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289</v>
      </c>
      <c r="D127" s="235" t="s">
        <v>274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293</v>
      </c>
      <c r="D128" s="235" t="s">
        <v>274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297</v>
      </c>
      <c r="D129" s="235" t="s">
        <v>274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301</v>
      </c>
      <c r="D130" s="235" t="s">
        <v>274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290</v>
      </c>
      <c r="D131" s="235" t="s">
        <v>274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294</v>
      </c>
      <c r="D132" s="235" t="s">
        <v>274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298</v>
      </c>
      <c r="D133" s="235" t="s">
        <v>274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302</v>
      </c>
      <c r="D134" s="235" t="s">
        <v>274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304</v>
      </c>
      <c r="D135" s="235" t="s">
        <v>274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308</v>
      </c>
      <c r="D136" s="235" t="s">
        <v>274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312</v>
      </c>
      <c r="D137" s="235" t="s">
        <v>274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316</v>
      </c>
      <c r="D138" s="235" t="s">
        <v>274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305</v>
      </c>
      <c r="D139" s="235" t="s">
        <v>274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309</v>
      </c>
      <c r="D140" s="235" t="s">
        <v>274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313</v>
      </c>
      <c r="D141" s="235" t="s">
        <v>274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317</v>
      </c>
      <c r="D142" s="235" t="s">
        <v>274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280</v>
      </c>
      <c r="D143" s="235" t="s">
        <v>274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282</v>
      </c>
      <c r="D144" s="235" t="s">
        <v>274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284</v>
      </c>
      <c r="D145" s="235" t="s">
        <v>274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286</v>
      </c>
      <c r="D146" s="235" t="s">
        <v>274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306</v>
      </c>
      <c r="D147" s="235" t="s">
        <v>274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310</v>
      </c>
      <c r="D148" s="235" t="s">
        <v>274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314</v>
      </c>
      <c r="D149" s="235" t="s">
        <v>274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318</v>
      </c>
      <c r="D150" s="235" t="s">
        <v>274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322</v>
      </c>
      <c r="D151" s="235" t="s">
        <v>274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327</v>
      </c>
      <c r="D152" s="235" t="s">
        <v>274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332</v>
      </c>
      <c r="D153" s="235" t="s">
        <v>274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337</v>
      </c>
      <c r="D154" s="235" t="s">
        <v>274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323</v>
      </c>
      <c r="D155" s="235" t="s">
        <v>274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328</v>
      </c>
      <c r="D156" s="235" t="s">
        <v>274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333</v>
      </c>
      <c r="D157" s="235" t="s">
        <v>274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338</v>
      </c>
      <c r="D158" s="235" t="s">
        <v>274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C6" sqref="C6:E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451</v>
      </c>
    </row>
    <row r="3" spans="2:30" ht="15" customHeight="1">
      <c r="B3" s="84"/>
    </row>
    <row r="4" spans="2:30" ht="15" customHeight="1">
      <c r="B4" s="85" t="s">
        <v>450</v>
      </c>
      <c r="C4" s="63" t="str">
        <f>Netzbetreiber!$D$9</f>
        <v>WEV Warendorfer Energieversorgung GmbH</v>
      </c>
      <c r="D4" s="76"/>
      <c r="G4" s="76"/>
      <c r="I4" s="76"/>
      <c r="J4" s="77"/>
      <c r="M4" s="86" t="s">
        <v>547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449</v>
      </c>
      <c r="C5" s="64" t="str">
        <f>Netzbetreiber!D28</f>
        <v>NCG L-Gas</v>
      </c>
      <c r="D5" s="37"/>
      <c r="E5" s="76"/>
      <c r="F5" s="76"/>
      <c r="G5" s="76"/>
      <c r="I5" s="76"/>
      <c r="J5" s="76"/>
      <c r="K5" s="76"/>
      <c r="L5" s="76"/>
      <c r="M5" s="88" t="s">
        <v>515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447</v>
      </c>
      <c r="C6" s="354">
        <f>Netzbetreiber!$D$11</f>
        <v>9870079100003</v>
      </c>
      <c r="D6" s="354"/>
      <c r="E6" s="354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463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472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52" t="s">
        <v>591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400</v>
      </c>
      <c r="G10" s="350"/>
      <c r="H10" s="350"/>
      <c r="I10" s="350"/>
      <c r="J10" s="350"/>
      <c r="K10" s="350"/>
      <c r="L10" s="351"/>
      <c r="M10" s="96" t="s">
        <v>473</v>
      </c>
      <c r="N10" s="97" t="s">
        <v>474</v>
      </c>
      <c r="O10" s="98" t="s">
        <v>475</v>
      </c>
      <c r="P10" s="99" t="s">
        <v>476</v>
      </c>
      <c r="Q10" s="99" t="s">
        <v>477</v>
      </c>
      <c r="R10" s="99" t="s">
        <v>478</v>
      </c>
      <c r="S10" s="99" t="s">
        <v>479</v>
      </c>
      <c r="T10" s="99" t="s">
        <v>480</v>
      </c>
      <c r="U10" s="99" t="s">
        <v>481</v>
      </c>
      <c r="V10" s="99" t="s">
        <v>482</v>
      </c>
      <c r="W10" s="99" t="s">
        <v>483</v>
      </c>
      <c r="X10" s="99" t="s">
        <v>484</v>
      </c>
      <c r="Y10" s="99" t="s">
        <v>485</v>
      </c>
      <c r="Z10" s="99" t="s">
        <v>486</v>
      </c>
      <c r="AA10" s="99" t="s">
        <v>487</v>
      </c>
      <c r="AB10" s="99" t="s">
        <v>488</v>
      </c>
      <c r="AC10" s="100" t="s">
        <v>489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14">
        <f>MIN(SUMPRODUCT($M$11:$AD$11,M12:AD12),1)</f>
        <v>1</v>
      </c>
      <c r="F12" s="311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15">
        <f t="shared" ref="E13:E33" si="0">MIN(SUMPRODUCT($M$11:$AD$11,M13:AD13),1)</f>
        <v>0</v>
      </c>
      <c r="F13" s="312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15">
        <f t="shared" si="0"/>
        <v>0</v>
      </c>
      <c r="F14" s="312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15">
        <f t="shared" si="0"/>
        <v>0</v>
      </c>
      <c r="F15" s="312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15">
        <f t="shared" si="0"/>
        <v>1</v>
      </c>
      <c r="F16" s="312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15">
        <f t="shared" si="0"/>
        <v>1</v>
      </c>
      <c r="F17" s="312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15">
        <f t="shared" si="0"/>
        <v>1</v>
      </c>
      <c r="F18" s="312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15">
        <f t="shared" si="0"/>
        <v>1</v>
      </c>
      <c r="F19" s="312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658</v>
      </c>
      <c r="C20" s="117"/>
      <c r="D20" s="111">
        <v>12</v>
      </c>
      <c r="E20" s="315">
        <f t="shared" si="0"/>
        <v>1</v>
      </c>
      <c r="F20" s="312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15">
        <f t="shared" si="0"/>
        <v>1</v>
      </c>
      <c r="F21" s="312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15">
        <f t="shared" si="0"/>
        <v>1</v>
      </c>
      <c r="F22" s="312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15">
        <f t="shared" si="0"/>
        <v>1</v>
      </c>
      <c r="F23" s="312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15">
        <f t="shared" si="0"/>
        <v>0</v>
      </c>
      <c r="F24" s="312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15">
        <f t="shared" si="0"/>
        <v>0</v>
      </c>
      <c r="F25" s="312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15">
        <f t="shared" si="0"/>
        <v>1</v>
      </c>
      <c r="F26" s="312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15">
        <f t="shared" si="0"/>
        <v>0</v>
      </c>
      <c r="F27" s="312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15">
        <f t="shared" si="0"/>
        <v>1</v>
      </c>
      <c r="F28" s="312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15">
        <f t="shared" si="0"/>
        <v>0</v>
      </c>
      <c r="F29" s="312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15">
        <f t="shared" si="0"/>
        <v>0</v>
      </c>
      <c r="F30" s="312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15">
        <f t="shared" si="0"/>
        <v>1</v>
      </c>
      <c r="F31" s="312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15">
        <f t="shared" si="0"/>
        <v>1</v>
      </c>
      <c r="F32" s="312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16">
        <f t="shared" si="0"/>
        <v>0</v>
      </c>
      <c r="F33" s="313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460</v>
      </c>
      <c r="B1" s="128"/>
      <c r="D1" s="217" t="s">
        <v>553</v>
      </c>
    </row>
    <row r="2" spans="1:16">
      <c r="A2" s="237"/>
      <c r="B2" s="236" t="s">
        <v>461</v>
      </c>
    </row>
    <row r="3" spans="1:16" ht="20.100000000000001" customHeight="1">
      <c r="A3" s="355" t="s">
        <v>250</v>
      </c>
      <c r="B3" s="238" t="s">
        <v>87</v>
      </c>
      <c r="C3" s="239"/>
      <c r="D3" s="357" t="s">
        <v>462</v>
      </c>
      <c r="E3" s="358"/>
      <c r="F3" s="358"/>
      <c r="G3" s="358"/>
      <c r="H3" s="358"/>
      <c r="I3" s="358"/>
      <c r="J3" s="359"/>
      <c r="K3" s="240"/>
      <c r="L3" s="240"/>
      <c r="M3" s="240"/>
      <c r="N3" s="240"/>
      <c r="O3" s="241"/>
      <c r="P3" s="240"/>
    </row>
    <row r="4" spans="1:16" ht="20.100000000000001" customHeight="1">
      <c r="A4" s="356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370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370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Meister-Schubert, Sonja</cp:lastModifiedBy>
  <cp:lastPrinted>2015-07-22T10:14:37Z</cp:lastPrinted>
  <dcterms:created xsi:type="dcterms:W3CDTF">2015-01-15T05:25:41Z</dcterms:created>
  <dcterms:modified xsi:type="dcterms:W3CDTF">2021-04-16T09:08:20Z</dcterms:modified>
</cp:coreProperties>
</file>